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ZNA\Users\Public\Public\2021\ФІНПЛАН\ЗВІТ ЗА ПІВРІЧЧЯ 2021\"/>
    </mc:Choice>
  </mc:AlternateContent>
  <bookViews>
    <workbookView xWindow="0" yWindow="0" windowWidth="28800" windowHeight="12300" tabRatio="838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формування'!$4:$5</definedName>
    <definedName name="_xlnm.Print_Titles" localSheetId="3">'Розшифровка кап'!$3:$4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фінпла'!$A$1:$H$100</definedName>
    <definedName name="_xlnm.Print_Area" localSheetId="1">'Розшифровка 1 до Формування'!$A$1:$H$147</definedName>
    <definedName name="_xlnm.Print_Area" localSheetId="2">'Розшифровка 2 до формування'!$A$1:$H$376</definedName>
    <definedName name="_xlnm.Print_Area" localSheetId="4">'Розшифровка за джерелами'!$A$1:$P$66</definedName>
    <definedName name="_xlnm.Print_Area" localSheetId="3">'Розшифровка кап'!$A$1:$G$97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G25" i="22" l="1"/>
  <c r="F29" i="22"/>
  <c r="W9" i="26" l="1"/>
  <c r="X9" i="26"/>
  <c r="V9" i="26"/>
  <c r="W14" i="26"/>
  <c r="X14" i="26"/>
  <c r="V14" i="26"/>
  <c r="V31" i="26" s="1"/>
  <c r="E6" i="26"/>
  <c r="F6" i="26"/>
  <c r="D6" i="26"/>
  <c r="E318" i="26"/>
  <c r="F318" i="26"/>
  <c r="D318" i="26"/>
  <c r="E277" i="26"/>
  <c r="F277" i="26"/>
  <c r="D277" i="26"/>
  <c r="E225" i="26"/>
  <c r="F225" i="26"/>
  <c r="D225" i="26"/>
  <c r="D179" i="26"/>
  <c r="E142" i="26"/>
  <c r="F142" i="26"/>
  <c r="D142" i="26"/>
  <c r="E109" i="26"/>
  <c r="F109" i="26"/>
  <c r="D109" i="26"/>
  <c r="E53" i="26"/>
  <c r="F53" i="26"/>
  <c r="D53" i="26"/>
  <c r="E7" i="26"/>
  <c r="F7" i="26"/>
  <c r="D7" i="26"/>
  <c r="W21" i="26"/>
  <c r="X21" i="26"/>
  <c r="V21" i="26"/>
  <c r="D204" i="26"/>
  <c r="E173" i="26"/>
  <c r="F173" i="26"/>
  <c r="D173" i="26"/>
  <c r="E36" i="26"/>
  <c r="F36" i="26"/>
  <c r="D36" i="26"/>
  <c r="W31" i="26"/>
  <c r="X31" i="26"/>
  <c r="W30" i="26"/>
  <c r="X30" i="26"/>
  <c r="W29" i="26"/>
  <c r="X29" i="26"/>
  <c r="W28" i="26"/>
  <c r="X28" i="26"/>
  <c r="W27" i="26"/>
  <c r="X27" i="26"/>
  <c r="V30" i="26"/>
  <c r="V29" i="26"/>
  <c r="V28" i="26"/>
  <c r="V27" i="26"/>
  <c r="X32" i="26"/>
  <c r="W22" i="26"/>
  <c r="X22" i="26"/>
  <c r="V22" i="26"/>
  <c r="W25" i="26"/>
  <c r="X25" i="26"/>
  <c r="V25" i="26"/>
  <c r="F289" i="26"/>
  <c r="F288" i="26" s="1"/>
  <c r="F287" i="26" s="1"/>
  <c r="F275" i="26"/>
  <c r="F274" i="26"/>
  <c r="F273" i="26" s="1"/>
  <c r="G371" i="26"/>
  <c r="W13" i="26"/>
  <c r="X13" i="26"/>
  <c r="W12" i="26"/>
  <c r="X12" i="26"/>
  <c r="W11" i="26"/>
  <c r="X11" i="26"/>
  <c r="W10" i="26"/>
  <c r="X10" i="26"/>
  <c r="V12" i="26"/>
  <c r="V11" i="26"/>
  <c r="V10" i="26"/>
  <c r="G47" i="26"/>
  <c r="G48" i="26"/>
  <c r="G49" i="26"/>
  <c r="G50" i="26"/>
  <c r="G51" i="26"/>
  <c r="G52" i="26"/>
  <c r="G46" i="26"/>
  <c r="G42" i="26"/>
  <c r="G43" i="26"/>
  <c r="G44" i="26"/>
  <c r="G45" i="26"/>
  <c r="G41" i="26"/>
  <c r="E46" i="26"/>
  <c r="D46" i="26"/>
  <c r="E48" i="26"/>
  <c r="D48" i="26"/>
  <c r="E49" i="26"/>
  <c r="D49" i="26"/>
  <c r="V32" i="26" l="1"/>
  <c r="H53" i="14" l="1"/>
  <c r="H55" i="14"/>
  <c r="H57" i="14"/>
  <c r="H59" i="14"/>
  <c r="H60" i="14"/>
  <c r="H64" i="14"/>
  <c r="H66" i="14"/>
  <c r="H67" i="14"/>
  <c r="G53" i="14"/>
  <c r="G55" i="14"/>
  <c r="G57" i="14"/>
  <c r="G59" i="14"/>
  <c r="G60" i="14"/>
  <c r="G64" i="14"/>
  <c r="G66" i="14"/>
  <c r="G67" i="14"/>
  <c r="D57" i="14"/>
  <c r="F64" i="14"/>
  <c r="F57" i="14"/>
  <c r="F52" i="14"/>
  <c r="D52" i="14"/>
  <c r="F68" i="14" l="1"/>
  <c r="F96" i="14"/>
  <c r="F95" i="14"/>
  <c r="F94" i="14"/>
  <c r="F93" i="14"/>
  <c r="F89" i="14"/>
  <c r="F85" i="14"/>
  <c r="E94" i="14"/>
  <c r="E95" i="14"/>
  <c r="E96" i="14"/>
  <c r="E93" i="14"/>
  <c r="D94" i="14"/>
  <c r="D95" i="14"/>
  <c r="D96" i="14"/>
  <c r="D93" i="14"/>
  <c r="D89" i="14"/>
  <c r="X15" i="26" l="1"/>
  <c r="X19" i="26"/>
  <c r="F364" i="26"/>
  <c r="G370" i="26"/>
  <c r="G369" i="26"/>
  <c r="W24" i="26" l="1"/>
  <c r="X24" i="26"/>
  <c r="V24" i="26"/>
  <c r="W23" i="26"/>
  <c r="X23" i="26"/>
  <c r="V23" i="26"/>
  <c r="W20" i="26"/>
  <c r="X20" i="26"/>
  <c r="V20" i="26"/>
  <c r="W18" i="26"/>
  <c r="X18" i="26"/>
  <c r="V18" i="26"/>
  <c r="X17" i="26"/>
  <c r="W17" i="26"/>
  <c r="V17" i="26"/>
  <c r="W16" i="26"/>
  <c r="X16" i="26"/>
  <c r="W15" i="26"/>
  <c r="V15" i="26"/>
  <c r="E93" i="24"/>
  <c r="D93" i="24"/>
  <c r="R462" i="26"/>
  <c r="R461" i="26"/>
  <c r="R460" i="26"/>
  <c r="R459" i="26"/>
  <c r="R458" i="26"/>
  <c r="R457" i="26"/>
  <c r="R437" i="26"/>
  <c r="G86" i="22"/>
  <c r="G87" i="22"/>
  <c r="G88" i="22"/>
  <c r="G89" i="22"/>
  <c r="G90" i="22"/>
  <c r="I7" i="9" l="1"/>
  <c r="G20" i="14"/>
  <c r="G13" i="14"/>
  <c r="F7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F58" i="24"/>
  <c r="F59" i="24"/>
  <c r="F60" i="24"/>
  <c r="F61" i="24"/>
  <c r="F62" i="24"/>
  <c r="F63" i="24"/>
  <c r="F64" i="24"/>
  <c r="F65" i="24"/>
  <c r="F66" i="24"/>
  <c r="F67" i="24"/>
  <c r="F68" i="24"/>
  <c r="F69" i="24"/>
  <c r="F70" i="24"/>
  <c r="F71" i="24"/>
  <c r="F72" i="24"/>
  <c r="F73" i="24"/>
  <c r="F74" i="24"/>
  <c r="F75" i="24"/>
  <c r="F76" i="24"/>
  <c r="F77" i="24"/>
  <c r="F78" i="24"/>
  <c r="F79" i="24"/>
  <c r="F80" i="24"/>
  <c r="F81" i="24"/>
  <c r="F82" i="24"/>
  <c r="F83" i="24"/>
  <c r="F84" i="24"/>
  <c r="F85" i="24"/>
  <c r="F86" i="24"/>
  <c r="F87" i="24"/>
  <c r="F88" i="24"/>
  <c r="F89" i="24"/>
  <c r="F90" i="24"/>
  <c r="F91" i="24"/>
  <c r="F92" i="24"/>
  <c r="F93" i="24"/>
  <c r="F94" i="24"/>
  <c r="G30" i="22" l="1"/>
  <c r="G13" i="22"/>
  <c r="G14" i="22"/>
  <c r="G15" i="22"/>
  <c r="G16" i="22"/>
  <c r="G17" i="22"/>
  <c r="G18" i="22"/>
  <c r="G19" i="22"/>
  <c r="G20" i="22"/>
  <c r="G21" i="22"/>
  <c r="G22" i="22"/>
  <c r="G23" i="22"/>
  <c r="G24" i="22"/>
  <c r="G26" i="22"/>
  <c r="G8" i="22"/>
  <c r="G9" i="22"/>
  <c r="G10" i="22"/>
  <c r="H8" i="22"/>
  <c r="H9" i="22"/>
  <c r="H10" i="22"/>
  <c r="H11" i="22"/>
  <c r="H15" i="22"/>
  <c r="H16" i="22"/>
  <c r="H19" i="22"/>
  <c r="H21" i="22"/>
  <c r="H28" i="22"/>
  <c r="E29" i="22"/>
  <c r="D29" i="22"/>
  <c r="E7" i="22"/>
  <c r="F7" i="22"/>
  <c r="H7" i="22" s="1"/>
  <c r="D7" i="22"/>
  <c r="H127" i="22"/>
  <c r="H128" i="22"/>
  <c r="H129" i="22"/>
  <c r="H132" i="22"/>
  <c r="H134" i="22"/>
  <c r="H136" i="22"/>
  <c r="H137" i="22"/>
  <c r="H138" i="22"/>
  <c r="H139" i="22"/>
  <c r="G125" i="22"/>
  <c r="G126" i="22"/>
  <c r="G127" i="22"/>
  <c r="G128" i="22"/>
  <c r="G129" i="22"/>
  <c r="G130" i="22"/>
  <c r="G131" i="22"/>
  <c r="G132" i="22"/>
  <c r="G133" i="22"/>
  <c r="G134" i="22"/>
  <c r="G135" i="22"/>
  <c r="G136" i="22"/>
  <c r="G137" i="22"/>
  <c r="G138" i="22"/>
  <c r="G139" i="22"/>
  <c r="G140" i="22"/>
  <c r="G141" i="22"/>
  <c r="G142" i="22"/>
  <c r="G144" i="22"/>
  <c r="H99" i="22"/>
  <c r="H100" i="22"/>
  <c r="H101" i="22"/>
  <c r="H103" i="22"/>
  <c r="H104" i="22"/>
  <c r="H105" i="22"/>
  <c r="H106" i="22"/>
  <c r="H107" i="22"/>
  <c r="H108" i="22"/>
  <c r="H109" i="22"/>
  <c r="H111" i="22"/>
  <c r="H114" i="22"/>
  <c r="H115" i="22"/>
  <c r="H116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6" i="22"/>
  <c r="G118" i="22"/>
  <c r="H94" i="22"/>
  <c r="H96" i="22"/>
  <c r="H97" i="22"/>
  <c r="G93" i="22"/>
  <c r="G94" i="22"/>
  <c r="G95" i="22"/>
  <c r="G96" i="22"/>
  <c r="G97" i="22"/>
  <c r="H56" i="22"/>
  <c r="H57" i="22"/>
  <c r="H58" i="22"/>
  <c r="H59" i="22"/>
  <c r="H60" i="22"/>
  <c r="H61" i="22"/>
  <c r="H62" i="22"/>
  <c r="H63" i="22"/>
  <c r="H65" i="22"/>
  <c r="H66" i="22"/>
  <c r="H67" i="22"/>
  <c r="H68" i="22"/>
  <c r="H69" i="22"/>
  <c r="H70" i="22"/>
  <c r="H73" i="22"/>
  <c r="H74" i="22"/>
  <c r="H76" i="22"/>
  <c r="H77" i="22"/>
  <c r="H78" i="22"/>
  <c r="H79" i="22"/>
  <c r="H80" i="22"/>
  <c r="H81" i="22"/>
  <c r="H82" i="22"/>
  <c r="H83" i="22"/>
  <c r="H8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H36" i="22"/>
  <c r="H37" i="22"/>
  <c r="H38" i="22"/>
  <c r="H39" i="22"/>
  <c r="H43" i="22"/>
  <c r="H44" i="22"/>
  <c r="H45" i="22"/>
  <c r="H46" i="22"/>
  <c r="H47" i="22"/>
  <c r="H48" i="22"/>
  <c r="H50" i="22"/>
  <c r="H51" i="22"/>
  <c r="H52" i="22"/>
  <c r="H53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E364" i="26"/>
  <c r="H162" i="26"/>
  <c r="H169" i="26"/>
  <c r="H170" i="26"/>
  <c r="H172" i="26"/>
  <c r="H175" i="26"/>
  <c r="H177" i="26"/>
  <c r="H223" i="26"/>
  <c r="H224" i="26"/>
  <c r="H229" i="26"/>
  <c r="H236" i="26"/>
  <c r="H237" i="26"/>
  <c r="H242" i="26"/>
  <c r="H243" i="26"/>
  <c r="H244" i="26"/>
  <c r="H248" i="26"/>
  <c r="H249" i="26"/>
  <c r="H250" i="26"/>
  <c r="H251" i="26"/>
  <c r="H272" i="26"/>
  <c r="H283" i="26"/>
  <c r="H284" i="26"/>
  <c r="H285" i="26"/>
  <c r="H356" i="26"/>
  <c r="H359" i="26"/>
  <c r="G159" i="26"/>
  <c r="G160" i="26"/>
  <c r="G162" i="26"/>
  <c r="G163" i="26"/>
  <c r="G164" i="26"/>
  <c r="G165" i="26"/>
  <c r="G166" i="26"/>
  <c r="G167" i="26"/>
  <c r="G168" i="26"/>
  <c r="G169" i="26"/>
  <c r="G170" i="26"/>
  <c r="G171" i="26"/>
  <c r="G172" i="26"/>
  <c r="G175" i="26"/>
  <c r="G176" i="26"/>
  <c r="G177" i="26"/>
  <c r="G178" i="26"/>
  <c r="G180" i="26"/>
  <c r="G181" i="26"/>
  <c r="G182" i="26"/>
  <c r="G183" i="26"/>
  <c r="G184" i="26"/>
  <c r="G185" i="26"/>
  <c r="G186" i="26"/>
  <c r="G187" i="26"/>
  <c r="G188" i="26"/>
  <c r="G189" i="26"/>
  <c r="G190" i="26"/>
  <c r="G191" i="26"/>
  <c r="G192" i="26"/>
  <c r="G193" i="26"/>
  <c r="G194" i="26"/>
  <c r="G195" i="26"/>
  <c r="G196" i="26"/>
  <c r="G197" i="26"/>
  <c r="G198" i="26"/>
  <c r="G199" i="26"/>
  <c r="G200" i="26"/>
  <c r="G201" i="26"/>
  <c r="G202" i="26"/>
  <c r="G203" i="26"/>
  <c r="G204" i="26"/>
  <c r="G205" i="26"/>
  <c r="G206" i="26"/>
  <c r="G207" i="26"/>
  <c r="G208" i="26"/>
  <c r="G209" i="26"/>
  <c r="G210" i="26"/>
  <c r="G211" i="26"/>
  <c r="G213" i="26"/>
  <c r="G216" i="26"/>
  <c r="G217" i="26"/>
  <c r="G218" i="26"/>
  <c r="G219" i="26"/>
  <c r="G223" i="26"/>
  <c r="G224" i="26"/>
  <c r="G229" i="26"/>
  <c r="G231" i="26"/>
  <c r="G232" i="26"/>
  <c r="G234" i="26"/>
  <c r="G235" i="26"/>
  <c r="G236" i="26"/>
  <c r="G237" i="26"/>
  <c r="G239" i="26"/>
  <c r="G240" i="26"/>
  <c r="G242" i="26"/>
  <c r="G243" i="26"/>
  <c r="G244" i="26"/>
  <c r="G245" i="26"/>
  <c r="G248" i="26"/>
  <c r="G249" i="26"/>
  <c r="G250" i="26"/>
  <c r="G251" i="26"/>
  <c r="G254" i="26"/>
  <c r="G255" i="26"/>
  <c r="G256" i="26"/>
  <c r="G257" i="26"/>
  <c r="G259" i="26"/>
  <c r="G262" i="26"/>
  <c r="G263" i="26"/>
  <c r="G264" i="26"/>
  <c r="G265" i="26"/>
  <c r="G266" i="26"/>
  <c r="G267" i="26"/>
  <c r="G272" i="26"/>
  <c r="G279" i="26"/>
  <c r="G280" i="26"/>
  <c r="G283" i="26"/>
  <c r="G284" i="26"/>
  <c r="G285" i="26"/>
  <c r="G286" i="26"/>
  <c r="G293" i="26"/>
  <c r="G294" i="26"/>
  <c r="G295" i="26"/>
  <c r="G296" i="26"/>
  <c r="G301" i="26"/>
  <c r="G302" i="26"/>
  <c r="G303" i="26"/>
  <c r="G304" i="26"/>
  <c r="G305" i="26"/>
  <c r="G307" i="26"/>
  <c r="G308" i="26"/>
  <c r="G309" i="26"/>
  <c r="G310" i="26"/>
  <c r="G313" i="26"/>
  <c r="G314" i="26"/>
  <c r="G317" i="26"/>
  <c r="G319" i="26"/>
  <c r="G322" i="26"/>
  <c r="G323" i="26"/>
  <c r="G324" i="26"/>
  <c r="G325" i="26"/>
  <c r="G326" i="26"/>
  <c r="G327" i="26"/>
  <c r="G328" i="26"/>
  <c r="G330" i="26"/>
  <c r="G331" i="26"/>
  <c r="G332" i="26"/>
  <c r="G333" i="26"/>
  <c r="G334" i="26"/>
  <c r="G335" i="26"/>
  <c r="G338" i="26"/>
  <c r="G339" i="26"/>
  <c r="G343" i="26"/>
  <c r="G344" i="26"/>
  <c r="G345" i="26"/>
  <c r="G346" i="26"/>
  <c r="G348" i="26"/>
  <c r="G349" i="26"/>
  <c r="G351" i="26"/>
  <c r="G356" i="26"/>
  <c r="G359" i="26"/>
  <c r="G363" i="26"/>
  <c r="G368" i="26"/>
  <c r="H148" i="26"/>
  <c r="H149" i="26"/>
  <c r="H150" i="26"/>
  <c r="H153" i="26"/>
  <c r="G146" i="26"/>
  <c r="G147" i="26"/>
  <c r="G148" i="26"/>
  <c r="G149" i="26"/>
  <c r="G150" i="26"/>
  <c r="G152" i="26"/>
  <c r="G153" i="26"/>
  <c r="G154" i="26"/>
  <c r="G155" i="26"/>
  <c r="G156" i="26"/>
  <c r="H113" i="26"/>
  <c r="H115" i="26"/>
  <c r="H116" i="26"/>
  <c r="H117" i="26"/>
  <c r="H120" i="26"/>
  <c r="H121" i="26"/>
  <c r="H122" i="26"/>
  <c r="H123" i="26"/>
  <c r="H124" i="26"/>
  <c r="H125" i="26"/>
  <c r="H126" i="26"/>
  <c r="H140" i="26"/>
  <c r="G113" i="26"/>
  <c r="G115" i="26"/>
  <c r="G116" i="26"/>
  <c r="G117" i="26"/>
  <c r="G119" i="26"/>
  <c r="G120" i="26"/>
  <c r="G121" i="26"/>
  <c r="G122" i="26"/>
  <c r="G123" i="26"/>
  <c r="G124" i="26"/>
  <c r="G125" i="26"/>
  <c r="G126" i="26"/>
  <c r="G129" i="26"/>
  <c r="G130" i="26"/>
  <c r="G133" i="26"/>
  <c r="G134" i="26"/>
  <c r="G136" i="26"/>
  <c r="G137" i="26"/>
  <c r="G138" i="26"/>
  <c r="G139" i="26"/>
  <c r="G140" i="26"/>
  <c r="G141" i="26"/>
  <c r="H57" i="26"/>
  <c r="H61" i="26"/>
  <c r="H63" i="26"/>
  <c r="H64" i="26"/>
  <c r="H65" i="26"/>
  <c r="H70" i="26"/>
  <c r="H75" i="26"/>
  <c r="H76" i="26"/>
  <c r="H77" i="26"/>
  <c r="H79" i="26"/>
  <c r="H80" i="26"/>
  <c r="H81" i="26"/>
  <c r="H82" i="26"/>
  <c r="H83" i="26"/>
  <c r="H84" i="26"/>
  <c r="H85" i="26"/>
  <c r="H89" i="26"/>
  <c r="H90" i="26"/>
  <c r="H91" i="26"/>
  <c r="H94" i="26"/>
  <c r="H96" i="26"/>
  <c r="H97" i="26"/>
  <c r="H99" i="26"/>
  <c r="H104" i="26"/>
  <c r="H106" i="26"/>
  <c r="H107" i="26"/>
  <c r="H108" i="26"/>
  <c r="G57" i="26"/>
  <c r="G58" i="26"/>
  <c r="G59" i="26"/>
  <c r="G61" i="26"/>
  <c r="G63" i="26"/>
  <c r="G64" i="26"/>
  <c r="G65" i="26"/>
  <c r="G66" i="26"/>
  <c r="G68" i="26"/>
  <c r="G70" i="26"/>
  <c r="G71" i="26"/>
  <c r="G75" i="26"/>
  <c r="G76" i="26"/>
  <c r="G77" i="26"/>
  <c r="G78" i="26"/>
  <c r="G79" i="26"/>
  <c r="G80" i="26"/>
  <c r="G81" i="26"/>
  <c r="G82" i="26"/>
  <c r="G83" i="26"/>
  <c r="G84" i="26"/>
  <c r="G85" i="26"/>
  <c r="G86" i="26"/>
  <c r="G89" i="26"/>
  <c r="G90" i="26"/>
  <c r="G91" i="26"/>
  <c r="G92" i="26"/>
  <c r="G94" i="26"/>
  <c r="G96" i="26"/>
  <c r="G97" i="26"/>
  <c r="G99" i="26"/>
  <c r="G100" i="26"/>
  <c r="G101" i="26"/>
  <c r="G104" i="26"/>
  <c r="G106" i="26"/>
  <c r="G107" i="26"/>
  <c r="G108" i="26"/>
  <c r="H29" i="26"/>
  <c r="H30" i="26"/>
  <c r="H32" i="26"/>
  <c r="H33" i="26"/>
  <c r="H35" i="26"/>
  <c r="H37" i="26"/>
  <c r="H38" i="26"/>
  <c r="G29" i="26"/>
  <c r="G30" i="26"/>
  <c r="G32" i="26"/>
  <c r="G33" i="26"/>
  <c r="G34" i="26"/>
  <c r="G35" i="26"/>
  <c r="G37" i="26"/>
  <c r="G38" i="26"/>
  <c r="G39" i="26"/>
  <c r="G40" i="26"/>
  <c r="H12" i="26"/>
  <c r="H13" i="26"/>
  <c r="H14" i="26"/>
  <c r="H19" i="26"/>
  <c r="H20" i="26"/>
  <c r="H21" i="26"/>
  <c r="H22" i="26"/>
  <c r="H23" i="26"/>
  <c r="H25" i="26"/>
  <c r="H26" i="26"/>
  <c r="H27" i="26"/>
  <c r="G12" i="26"/>
  <c r="G13" i="26"/>
  <c r="G14" i="26"/>
  <c r="G17" i="26"/>
  <c r="G19" i="26"/>
  <c r="G20" i="26"/>
  <c r="G21" i="26"/>
  <c r="G22" i="26"/>
  <c r="G23" i="26"/>
  <c r="G25" i="26"/>
  <c r="G26" i="26"/>
  <c r="G27" i="26"/>
  <c r="D102" i="26"/>
  <c r="H82" i="14"/>
  <c r="H83" i="14"/>
  <c r="H84" i="14"/>
  <c r="H85" i="14"/>
  <c r="H86" i="14"/>
  <c r="H87" i="14"/>
  <c r="H88" i="14"/>
  <c r="H89" i="14"/>
  <c r="H90" i="14"/>
  <c r="H91" i="14"/>
  <c r="H92" i="14"/>
  <c r="H93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H81" i="14"/>
  <c r="G81" i="14"/>
  <c r="E89" i="14" l="1"/>
  <c r="F54" i="22" l="1"/>
  <c r="F124" i="22"/>
  <c r="F98" i="22"/>
  <c r="F92" i="22"/>
  <c r="F35" i="22"/>
  <c r="F62" i="26" l="1"/>
  <c r="F95" i="26"/>
  <c r="F73" i="26"/>
  <c r="F60" i="26"/>
  <c r="G73" i="26" l="1"/>
  <c r="H73" i="26"/>
  <c r="H60" i="26"/>
  <c r="G60" i="26"/>
  <c r="H95" i="26"/>
  <c r="G95" i="26"/>
  <c r="G62" i="26"/>
  <c r="H62" i="26"/>
  <c r="F72" i="26"/>
  <c r="F105" i="26"/>
  <c r="G105" i="26" s="1"/>
  <c r="F282" i="26"/>
  <c r="F321" i="26"/>
  <c r="F329" i="26"/>
  <c r="F281" i="26" l="1"/>
  <c r="G72" i="26"/>
  <c r="H72" i="26"/>
  <c r="F320" i="26"/>
  <c r="F103" i="26"/>
  <c r="F88" i="26"/>
  <c r="F340" i="26"/>
  <c r="F337" i="26" l="1"/>
  <c r="G340" i="26"/>
  <c r="F102" i="26"/>
  <c r="F350" i="26"/>
  <c r="G350" i="26" s="1"/>
  <c r="E6" i="24" l="1"/>
  <c r="F174" i="26"/>
  <c r="F161" i="26"/>
  <c r="F158" i="26"/>
  <c r="F145" i="26"/>
  <c r="F151" i="26"/>
  <c r="G11" i="26" l="1"/>
  <c r="H11" i="26"/>
  <c r="F157" i="26"/>
  <c r="F144" i="26"/>
  <c r="F12" i="22"/>
  <c r="F27" i="22" l="1"/>
  <c r="F6" i="22" l="1"/>
  <c r="D282" i="26"/>
  <c r="E282" i="26"/>
  <c r="F10" i="26"/>
  <c r="F135" i="26"/>
  <c r="F132" i="26"/>
  <c r="G132" i="26" s="1"/>
  <c r="F118" i="26"/>
  <c r="G367" i="26"/>
  <c r="F56" i="26"/>
  <c r="E158" i="26"/>
  <c r="G158" i="26" s="1"/>
  <c r="F98" i="26"/>
  <c r="G98" i="26" s="1"/>
  <c r="G282" i="26" l="1"/>
  <c r="H282" i="26"/>
  <c r="F366" i="26"/>
  <c r="F131" i="26"/>
  <c r="F74" i="26"/>
  <c r="F362" i="26"/>
  <c r="F361" i="26" l="1"/>
  <c r="G362" i="26"/>
  <c r="G74" i="26"/>
  <c r="H74" i="26"/>
  <c r="G364" i="26"/>
  <c r="G366" i="26"/>
  <c r="F300" i="26"/>
  <c r="G300" i="26" s="1"/>
  <c r="F360" i="26" l="1"/>
  <c r="G360" i="26" s="1"/>
  <c r="G361" i="26"/>
  <c r="E39" i="24"/>
  <c r="D124" i="22"/>
  <c r="E120" i="22"/>
  <c r="F120" i="22"/>
  <c r="D120" i="22"/>
  <c r="D92" i="22"/>
  <c r="D116" i="22"/>
  <c r="D98" i="22" s="1"/>
  <c r="D35" i="22"/>
  <c r="D73" i="22"/>
  <c r="D54" i="22" s="1"/>
  <c r="E124" i="22"/>
  <c r="E98" i="22"/>
  <c r="E92" i="22"/>
  <c r="E35" i="22"/>
  <c r="E5" i="24" l="1"/>
  <c r="F299" i="26"/>
  <c r="G299" i="26" s="1"/>
  <c r="F312" i="26"/>
  <c r="F261" i="26"/>
  <c r="G261" i="26" s="1"/>
  <c r="F311" i="26" l="1"/>
  <c r="G311" i="26" s="1"/>
  <c r="G312" i="26"/>
  <c r="F306" i="26"/>
  <c r="G306" i="26" s="1"/>
  <c r="F316" i="26"/>
  <c r="F315" i="26" l="1"/>
  <c r="G315" i="26" s="1"/>
  <c r="G316" i="26"/>
  <c r="F298" i="26"/>
  <c r="G298" i="26" s="1"/>
  <c r="F260" i="26"/>
  <c r="F222" i="26"/>
  <c r="F215" i="26"/>
  <c r="G215" i="26" s="1"/>
  <c r="F233" i="26"/>
  <c r="F230" i="26"/>
  <c r="F128" i="26"/>
  <c r="H230" i="26" l="1"/>
  <c r="G230" i="26"/>
  <c r="F258" i="26"/>
  <c r="G258" i="26" s="1"/>
  <c r="G260" i="26"/>
  <c r="H233" i="26"/>
  <c r="G233" i="26"/>
  <c r="F127" i="26"/>
  <c r="G127" i="26" s="1"/>
  <c r="G128" i="26"/>
  <c r="F297" i="26"/>
  <c r="G297" i="26" s="1"/>
  <c r="F228" i="26"/>
  <c r="F241" i="26" l="1"/>
  <c r="F347" i="26"/>
  <c r="G347" i="26" s="1"/>
  <c r="F238" i="26" l="1"/>
  <c r="H241" i="26"/>
  <c r="G241" i="26"/>
  <c r="F355" i="26"/>
  <c r="F358" i="26"/>
  <c r="F354" i="26" l="1"/>
  <c r="F357" i="26"/>
  <c r="F352" i="26" s="1"/>
  <c r="F227" i="26"/>
  <c r="D212" i="26"/>
  <c r="E212" i="26"/>
  <c r="F214" i="26"/>
  <c r="F24" i="26"/>
  <c r="F31" i="26"/>
  <c r="F18" i="26" l="1"/>
  <c r="G24" i="26"/>
  <c r="H24" i="26"/>
  <c r="H15" i="26"/>
  <c r="G15" i="26"/>
  <c r="G16" i="26"/>
  <c r="H16" i="26"/>
  <c r="F212" i="26"/>
  <c r="G212" i="26" s="1"/>
  <c r="G214" i="26"/>
  <c r="F28" i="26"/>
  <c r="F278" i="26"/>
  <c r="G278" i="26" s="1"/>
  <c r="F114" i="26" l="1"/>
  <c r="E161" i="26"/>
  <c r="F69" i="26"/>
  <c r="F93" i="26"/>
  <c r="H161" i="26" l="1"/>
  <c r="G161" i="26"/>
  <c r="F112" i="26"/>
  <c r="H114" i="26"/>
  <c r="G114" i="26"/>
  <c r="F87" i="26"/>
  <c r="F67" i="26"/>
  <c r="F55" i="26" s="1"/>
  <c r="G69" i="26"/>
  <c r="H69" i="26"/>
  <c r="E31" i="26"/>
  <c r="H31" i="26" l="1"/>
  <c r="G31" i="26"/>
  <c r="H36" i="26"/>
  <c r="G36" i="26"/>
  <c r="F111" i="26"/>
  <c r="F9" i="26"/>
  <c r="F342" i="26"/>
  <c r="F341" i="26" l="1"/>
  <c r="G342" i="26"/>
  <c r="D337" i="26"/>
  <c r="E337" i="26"/>
  <c r="G337" i="26" s="1"/>
  <c r="F336" i="26" l="1"/>
  <c r="E321" i="26"/>
  <c r="G321" i="26" s="1"/>
  <c r="E329" i="26"/>
  <c r="G329" i="26" s="1"/>
  <c r="E341" i="26"/>
  <c r="E336" i="26" s="1"/>
  <c r="G341" i="26" l="1"/>
  <c r="G318" i="26"/>
  <c r="G336" i="26"/>
  <c r="E320" i="26"/>
  <c r="G320" i="26" s="1"/>
  <c r="C94" i="14"/>
  <c r="C92" i="14"/>
  <c r="C96" i="14" s="1"/>
  <c r="C91" i="14"/>
  <c r="C95" i="14" s="1"/>
  <c r="C89" i="14"/>
  <c r="C93" i="14" s="1"/>
  <c r="C88" i="14"/>
  <c r="C87" i="14"/>
  <c r="C85" i="14"/>
  <c r="C81" i="14"/>
  <c r="C52" i="14" l="1"/>
  <c r="F271" i="26" l="1"/>
  <c r="F220" i="26"/>
  <c r="F270" i="26" l="1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1" i="9"/>
  <c r="N42" i="9"/>
  <c r="N43" i="9"/>
  <c r="N44" i="9"/>
  <c r="O44" i="9" s="1"/>
  <c r="N45" i="9"/>
  <c r="N46" i="9"/>
  <c r="N47" i="9"/>
  <c r="N48" i="9"/>
  <c r="O48" i="9" s="1"/>
  <c r="N49" i="9"/>
  <c r="N50" i="9"/>
  <c r="N51" i="9"/>
  <c r="N52" i="9"/>
  <c r="O52" i="9" s="1"/>
  <c r="N53" i="9"/>
  <c r="N54" i="9"/>
  <c r="N55" i="9"/>
  <c r="N56" i="9"/>
  <c r="O56" i="9" s="1"/>
  <c r="N57" i="9"/>
  <c r="N58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O40" i="9" s="1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N8" i="9"/>
  <c r="O8" i="9" s="1"/>
  <c r="N9" i="9"/>
  <c r="N10" i="9"/>
  <c r="N11" i="9"/>
  <c r="N12" i="9"/>
  <c r="O12" i="9" s="1"/>
  <c r="N13" i="9"/>
  <c r="N14" i="9"/>
  <c r="O14" i="9" s="1"/>
  <c r="N15" i="9"/>
  <c r="N16" i="9"/>
  <c r="O16" i="9" s="1"/>
  <c r="N17" i="9"/>
  <c r="N18" i="9"/>
  <c r="O18" i="9" s="1"/>
  <c r="N19" i="9"/>
  <c r="N20" i="9"/>
  <c r="O20" i="9" s="1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F21" i="9"/>
  <c r="G21" i="9"/>
  <c r="H21" i="9"/>
  <c r="I21" i="9"/>
  <c r="I59" i="9" s="1"/>
  <c r="J21" i="9"/>
  <c r="K21" i="9"/>
  <c r="L21" i="9"/>
  <c r="E21" i="9"/>
  <c r="M21" i="9" s="1"/>
  <c r="J7" i="9"/>
  <c r="J59" i="9" s="1"/>
  <c r="D39" i="24"/>
  <c r="F39" i="24" s="1"/>
  <c r="C93" i="24"/>
  <c r="C39" i="24"/>
  <c r="C6" i="24"/>
  <c r="C5" i="24" s="1"/>
  <c r="O39" i="9" l="1"/>
  <c r="O35" i="9"/>
  <c r="O31" i="9"/>
  <c r="O27" i="9"/>
  <c r="O23" i="9"/>
  <c r="O19" i="9"/>
  <c r="O15" i="9"/>
  <c r="O11" i="9"/>
  <c r="O55" i="9"/>
  <c r="O51" i="9"/>
  <c r="O47" i="9"/>
  <c r="O43" i="9"/>
  <c r="O38" i="9"/>
  <c r="O34" i="9"/>
  <c r="O30" i="9"/>
  <c r="O26" i="9"/>
  <c r="O22" i="9"/>
  <c r="O10" i="9"/>
  <c r="O58" i="9"/>
  <c r="O54" i="9"/>
  <c r="O50" i="9"/>
  <c r="O46" i="9"/>
  <c r="O42" i="9"/>
  <c r="O37" i="9"/>
  <c r="O33" i="9"/>
  <c r="O29" i="9"/>
  <c r="O25" i="9"/>
  <c r="O17" i="9"/>
  <c r="O13" i="9"/>
  <c r="O9" i="9"/>
  <c r="O57" i="9"/>
  <c r="O53" i="9"/>
  <c r="O49" i="9"/>
  <c r="O45" i="9"/>
  <c r="O41" i="9"/>
  <c r="O36" i="9"/>
  <c r="O32" i="9"/>
  <c r="O28" i="9"/>
  <c r="O24" i="9"/>
  <c r="N21" i="9"/>
  <c r="O21" i="9" s="1"/>
  <c r="F268" i="26"/>
  <c r="F7" i="9"/>
  <c r="F59" i="9" s="1"/>
  <c r="G7" i="9"/>
  <c r="G59" i="9" s="1"/>
  <c r="H7" i="9"/>
  <c r="H59" i="9" s="1"/>
  <c r="K7" i="9"/>
  <c r="K59" i="9" s="1"/>
  <c r="L7" i="9"/>
  <c r="L59" i="9" s="1"/>
  <c r="E7" i="9"/>
  <c r="E59" i="9" s="1"/>
  <c r="D6" i="24"/>
  <c r="D5" i="24" s="1"/>
  <c r="M7" i="9" l="1"/>
  <c r="M59" i="9" s="1"/>
  <c r="N7" i="9"/>
  <c r="N59" i="9" s="1"/>
  <c r="D12" i="22"/>
  <c r="D27" i="22"/>
  <c r="D6" i="22" l="1"/>
  <c r="E238" i="26"/>
  <c r="D238" i="26"/>
  <c r="E253" i="26"/>
  <c r="E252" i="26" s="1"/>
  <c r="F253" i="26"/>
  <c r="D253" i="26"/>
  <c r="F247" i="26"/>
  <c r="E247" i="26"/>
  <c r="D247" i="26"/>
  <c r="D246" i="26" s="1"/>
  <c r="D10" i="26"/>
  <c r="D362" i="26"/>
  <c r="D361" i="26" s="1"/>
  <c r="D360" i="26" s="1"/>
  <c r="D367" i="26"/>
  <c r="V13" i="26" s="1"/>
  <c r="D341" i="26"/>
  <c r="D321" i="26"/>
  <c r="D329" i="26"/>
  <c r="D295" i="26"/>
  <c r="D294" i="26" s="1"/>
  <c r="D293" i="26" s="1"/>
  <c r="D281" i="26"/>
  <c r="D279" i="26"/>
  <c r="D278" i="26" s="1"/>
  <c r="D118" i="26"/>
  <c r="D132" i="26"/>
  <c r="D135" i="26"/>
  <c r="D128" i="26"/>
  <c r="D127" i="26" s="1"/>
  <c r="D271" i="26"/>
  <c r="E174" i="26"/>
  <c r="D174" i="26"/>
  <c r="D161" i="26"/>
  <c r="D158" i="26"/>
  <c r="D151" i="26"/>
  <c r="D145" i="26"/>
  <c r="D252" i="26"/>
  <c r="D228" i="26"/>
  <c r="D205" i="26"/>
  <c r="D210" i="26"/>
  <c r="D200" i="26"/>
  <c r="D194" i="26"/>
  <c r="D189" i="26"/>
  <c r="D182" i="26"/>
  <c r="D88" i="26"/>
  <c r="D39" i="26"/>
  <c r="E27" i="22"/>
  <c r="H27" i="22" s="1"/>
  <c r="E12" i="22"/>
  <c r="H12" i="22" s="1"/>
  <c r="E281" i="26"/>
  <c r="E222" i="26"/>
  <c r="E355" i="26"/>
  <c r="E358" i="26"/>
  <c r="E271" i="26"/>
  <c r="E228" i="26"/>
  <c r="E157" i="26"/>
  <c r="E151" i="26"/>
  <c r="E145" i="26"/>
  <c r="E135" i="26"/>
  <c r="D270" i="26" l="1"/>
  <c r="E131" i="26"/>
  <c r="H135" i="26"/>
  <c r="G135" i="26"/>
  <c r="G174" i="26"/>
  <c r="H174" i="26"/>
  <c r="G247" i="26"/>
  <c r="H247" i="26"/>
  <c r="E220" i="26"/>
  <c r="G222" i="26"/>
  <c r="H222" i="26"/>
  <c r="E270" i="26"/>
  <c r="H271" i="26"/>
  <c r="G271" i="26"/>
  <c r="E357" i="26"/>
  <c r="H358" i="26"/>
  <c r="G358" i="26"/>
  <c r="G238" i="26"/>
  <c r="H238" i="26"/>
  <c r="E227" i="26"/>
  <c r="G228" i="26"/>
  <c r="H228" i="26"/>
  <c r="H145" i="26"/>
  <c r="G145" i="26"/>
  <c r="H281" i="26"/>
  <c r="G281" i="26"/>
  <c r="H151" i="26"/>
  <c r="G151" i="26"/>
  <c r="G157" i="26"/>
  <c r="H157" i="26"/>
  <c r="E354" i="26"/>
  <c r="H355" i="26"/>
  <c r="G355" i="26"/>
  <c r="G253" i="26"/>
  <c r="D366" i="26"/>
  <c r="D364" i="26" s="1"/>
  <c r="F246" i="26"/>
  <c r="F252" i="26"/>
  <c r="E6" i="22"/>
  <c r="D144" i="26"/>
  <c r="D336" i="26"/>
  <c r="D320" i="26"/>
  <c r="D131" i="26"/>
  <c r="D157" i="26"/>
  <c r="D227" i="26"/>
  <c r="D193" i="26"/>
  <c r="D181" i="26"/>
  <c r="E144" i="26"/>
  <c r="E246" i="26"/>
  <c r="D268" i="26" l="1"/>
  <c r="G6" i="22"/>
  <c r="H6" i="22"/>
  <c r="G227" i="26"/>
  <c r="H227" i="26"/>
  <c r="H357" i="26"/>
  <c r="G357" i="26"/>
  <c r="H173" i="26"/>
  <c r="G173" i="26"/>
  <c r="G246" i="26"/>
  <c r="H246" i="26"/>
  <c r="H354" i="26"/>
  <c r="G354" i="26"/>
  <c r="E268" i="26"/>
  <c r="H270" i="26"/>
  <c r="G270" i="26"/>
  <c r="E352" i="26"/>
  <c r="G252" i="26"/>
  <c r="H277" i="26"/>
  <c r="G277" i="26"/>
  <c r="H220" i="26"/>
  <c r="G220" i="26"/>
  <c r="G131" i="26"/>
  <c r="H131" i="26"/>
  <c r="D112" i="26"/>
  <c r="D111" i="26" s="1"/>
  <c r="E118" i="26"/>
  <c r="E112" i="26"/>
  <c r="E103" i="26"/>
  <c r="D93" i="26"/>
  <c r="D87" i="26" s="1"/>
  <c r="E93" i="26"/>
  <c r="E88" i="26"/>
  <c r="D67" i="26"/>
  <c r="E67" i="26"/>
  <c r="E56" i="26"/>
  <c r="D56" i="26"/>
  <c r="D31" i="26"/>
  <c r="D18" i="26"/>
  <c r="E28" i="26"/>
  <c r="E18" i="26"/>
  <c r="E10" i="26"/>
  <c r="H67" i="26" l="1"/>
  <c r="G67" i="26"/>
  <c r="H118" i="26"/>
  <c r="G118" i="26"/>
  <c r="H268" i="26"/>
  <c r="G268" i="26"/>
  <c r="G10" i="26"/>
  <c r="H10" i="26"/>
  <c r="H225" i="26"/>
  <c r="G225" i="26"/>
  <c r="H18" i="26"/>
  <c r="G18" i="26"/>
  <c r="G88" i="26"/>
  <c r="H88" i="26"/>
  <c r="E102" i="26"/>
  <c r="H103" i="26"/>
  <c r="G103" i="26"/>
  <c r="H352" i="26"/>
  <c r="G352" i="26"/>
  <c r="H56" i="26"/>
  <c r="G56" i="26"/>
  <c r="H93" i="26"/>
  <c r="G93" i="26"/>
  <c r="H112" i="26"/>
  <c r="G112" i="26"/>
  <c r="E55" i="26"/>
  <c r="D28" i="26"/>
  <c r="D55" i="26"/>
  <c r="E87" i="26"/>
  <c r="E111" i="26"/>
  <c r="E9" i="26"/>
  <c r="D9" i="26"/>
  <c r="H87" i="26" l="1"/>
  <c r="G87" i="26"/>
  <c r="W32" i="26"/>
  <c r="H102" i="26"/>
  <c r="G102" i="26"/>
  <c r="C25" i="14" l="1"/>
  <c r="F50" i="14"/>
  <c r="E50" i="14"/>
  <c r="D50" i="14"/>
  <c r="C50" i="14"/>
  <c r="H49" i="14"/>
  <c r="G49" i="14"/>
  <c r="G48" i="14"/>
  <c r="H47" i="14"/>
  <c r="G47" i="14"/>
  <c r="H46" i="14"/>
  <c r="G46" i="14"/>
  <c r="H45" i="14"/>
  <c r="G45" i="14"/>
  <c r="E81" i="14"/>
  <c r="D85" i="14"/>
  <c r="H96" i="14" l="1"/>
  <c r="G96" i="14"/>
  <c r="H95" i="14"/>
  <c r="G95" i="14"/>
  <c r="H94" i="14"/>
  <c r="G94" i="14"/>
  <c r="H50" i="14"/>
  <c r="G50" i="14"/>
  <c r="G7" i="22" l="1"/>
  <c r="F6" i="24" l="1"/>
  <c r="E179" i="26"/>
  <c r="F179" i="26"/>
  <c r="G142" i="26"/>
  <c r="G53" i="26"/>
  <c r="H9" i="26"/>
  <c r="H28" i="26"/>
  <c r="H55" i="26"/>
  <c r="H111" i="26"/>
  <c r="H144" i="26"/>
  <c r="G9" i="26"/>
  <c r="G28" i="26"/>
  <c r="G55" i="26"/>
  <c r="G111" i="26"/>
  <c r="G144" i="26"/>
  <c r="G12" i="22"/>
  <c r="G27" i="22"/>
  <c r="G29" i="22"/>
  <c r="H35" i="22"/>
  <c r="H54" i="22"/>
  <c r="H92" i="22"/>
  <c r="H98" i="22"/>
  <c r="H124" i="22"/>
  <c r="G11" i="22"/>
  <c r="G28" i="22"/>
  <c r="G35" i="22"/>
  <c r="G54" i="22"/>
  <c r="G92" i="22"/>
  <c r="G98" i="22"/>
  <c r="G120" i="22"/>
  <c r="G124" i="22"/>
  <c r="G179" i="26" l="1"/>
  <c r="H109" i="26"/>
  <c r="H53" i="26"/>
  <c r="H142" i="26"/>
  <c r="H7" i="26"/>
  <c r="G109" i="26"/>
  <c r="G7" i="26"/>
  <c r="O7" i="9"/>
  <c r="F5" i="24"/>
  <c r="H6" i="26" l="1"/>
  <c r="G6" i="26"/>
  <c r="O59" i="9"/>
  <c r="H10" i="14"/>
  <c r="H11" i="14"/>
  <c r="H12" i="14"/>
  <c r="H14" i="14"/>
  <c r="H17" i="14"/>
  <c r="H18" i="14"/>
  <c r="H19" i="14"/>
  <c r="H21" i="14"/>
  <c r="H24" i="14"/>
  <c r="H27" i="14"/>
  <c r="H28" i="14"/>
  <c r="H30" i="14"/>
  <c r="H32" i="14"/>
  <c r="H8" i="14" l="1"/>
  <c r="G18" i="14"/>
  <c r="G19" i="14"/>
  <c r="G21" i="14"/>
  <c r="G10" i="14"/>
  <c r="G11" i="14"/>
  <c r="G12" i="14"/>
  <c r="G14" i="14"/>
  <c r="G17" i="14"/>
  <c r="G23" i="14"/>
  <c r="G24" i="14"/>
  <c r="G27" i="14"/>
  <c r="G28" i="14"/>
  <c r="G30" i="14"/>
  <c r="G32" i="14"/>
  <c r="G34" i="14"/>
  <c r="G8" i="14"/>
  <c r="C70" i="14" l="1"/>
  <c r="D70" i="14"/>
  <c r="E70" i="14"/>
  <c r="F70" i="14"/>
  <c r="D64" i="14" l="1"/>
  <c r="E64" i="14"/>
  <c r="C64" i="14"/>
  <c r="E57" i="14"/>
  <c r="C57" i="14"/>
  <c r="E52" i="14"/>
  <c r="G52" i="14" s="1"/>
  <c r="E25" i="14"/>
  <c r="F25" i="14"/>
  <c r="D22" i="14"/>
  <c r="D42" i="14" s="1"/>
  <c r="E22" i="14"/>
  <c r="E42" i="14" s="1"/>
  <c r="F22" i="14"/>
  <c r="F42" i="14" s="1"/>
  <c r="C22" i="14"/>
  <c r="C42" i="14" s="1"/>
  <c r="H25" i="14" l="1"/>
  <c r="H22" i="14"/>
  <c r="H52" i="14"/>
  <c r="G22" i="14"/>
  <c r="G25" i="14"/>
  <c r="C68" i="14"/>
  <c r="E68" i="14"/>
  <c r="G68" i="14" s="1"/>
  <c r="D68" i="14"/>
  <c r="D25" i="14"/>
  <c r="D16" i="14"/>
  <c r="E16" i="14"/>
  <c r="F16" i="14"/>
  <c r="C16" i="14"/>
  <c r="D9" i="14"/>
  <c r="E9" i="14"/>
  <c r="F9" i="14"/>
  <c r="F15" i="14" s="1"/>
  <c r="C9" i="14"/>
  <c r="C43" i="14" l="1"/>
  <c r="F31" i="14"/>
  <c r="F36" i="14" s="1"/>
  <c r="D43" i="14"/>
  <c r="E15" i="14"/>
  <c r="E43" i="14"/>
  <c r="G42" i="14"/>
  <c r="H42" i="14"/>
  <c r="H9" i="14"/>
  <c r="F43" i="14"/>
  <c r="H16" i="14"/>
  <c r="H68" i="14"/>
  <c r="G9" i="14"/>
  <c r="G16" i="14"/>
  <c r="G15" i="14" l="1"/>
  <c r="E31" i="14"/>
  <c r="H15" i="14"/>
  <c r="G43" i="14"/>
  <c r="H43" i="14"/>
  <c r="G31" i="14" l="1"/>
  <c r="H31" i="14"/>
  <c r="F39" i="14"/>
  <c r="G36" i="14"/>
  <c r="E39" i="14"/>
  <c r="G39" i="14" l="1"/>
  <c r="D15" i="14"/>
  <c r="D31" i="14" s="1"/>
  <c r="D36" i="14" s="1"/>
  <c r="D39" i="14" l="1"/>
  <c r="C15" i="14"/>
  <c r="C31" i="14" s="1"/>
  <c r="C36" i="14" s="1"/>
  <c r="C39" i="14" l="1"/>
</calcChain>
</file>

<file path=xl/sharedStrings.xml><?xml version="1.0" encoding="utf-8"?>
<sst xmlns="http://schemas.openxmlformats.org/spreadsheetml/2006/main" count="1050" uniqueCount="519">
  <si>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</si>
  <si>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</si>
  <si>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</si>
  <si>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</si>
  <si>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</si>
  <si>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</si>
  <si>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</si>
  <si>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придбання (виготовлення) інших необоротних матеріальних активів</t>
  </si>
  <si>
    <t>№ з/п</t>
  </si>
  <si>
    <t>Усього</t>
  </si>
  <si>
    <t>модернізація, модифікація (добудова, дообладнання, реконструкція) основних засобів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</si>
  <si>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</si>
  <si>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</si>
  <si>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</si>
  <si>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</si>
  <si>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</si>
  <si>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</si>
  <si>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</si>
  <si>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(ініціали, прізвище)</t>
  </si>
  <si>
    <t>Основні фінансові показники</t>
  </si>
  <si>
    <t>Капітальні інвестиції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</si>
  <si>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</si>
  <si>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</si>
  <si>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</si>
  <si>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</si>
  <si>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</si>
  <si>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</si>
  <si>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</si>
  <si>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</si>
  <si>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</si>
  <si>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</si>
  <si>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</si>
  <si>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</si>
  <si>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</si>
  <si>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</si>
  <si>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</si>
  <si>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</si>
  <si>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</si>
  <si>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</si>
  <si>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</si>
  <si>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</si>
  <si>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</si>
  <si>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</si>
  <si>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</si>
  <si>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</si>
  <si>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</si>
  <si>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</si>
  <si>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</si>
  <si>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</si>
  <si>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</si>
  <si>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</si>
  <si>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</si>
  <si>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</si>
  <si>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</si>
  <si>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</si>
  <si>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</si>
  <si>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</si>
  <si>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</si>
  <si>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</si>
  <si>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</si>
  <si>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</si>
  <si>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</si>
  <si>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</si>
  <si>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</si>
  <si>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</si>
  <si>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</si>
  <si>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 xml:space="preserve">                   (підпис)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</si>
  <si>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</si>
  <si>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</si>
  <si>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</si>
  <si>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</si>
  <si>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</si>
  <si>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</si>
  <si>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</si>
  <si>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</si>
  <si>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</si>
  <si>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</si>
  <si>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</si>
  <si>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Інші витрати, усього, у т.ч: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</si>
  <si>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</si>
  <si>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</si>
  <si>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</si>
  <si>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</si>
  <si>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</si>
  <si>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</si>
  <si>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</si>
  <si>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</si>
  <si>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</si>
  <si>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</si>
  <si>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</si>
  <si>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</si>
  <si>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</si>
  <si>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</si>
  <si>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</si>
  <si>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Інші витрати,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</si>
  <si>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</si>
  <si>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</si>
  <si>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</si>
  <si>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</si>
  <si>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</si>
  <si>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</si>
  <si>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</si>
  <si>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3.1</t>
  </si>
  <si>
    <t>4.</t>
  </si>
  <si>
    <t>4.1</t>
  </si>
  <si>
    <t>4.2</t>
  </si>
  <si>
    <t>4.3</t>
  </si>
  <si>
    <t>5.</t>
  </si>
  <si>
    <t>6.1</t>
  </si>
  <si>
    <t>Матеріальні витрати, усього, у т.ч.:</t>
  </si>
  <si>
    <t>5.1</t>
  </si>
  <si>
    <t>5.2</t>
  </si>
  <si>
    <t>5.3</t>
  </si>
  <si>
    <t>план</t>
  </si>
  <si>
    <t>факт</t>
  </si>
  <si>
    <t>відхилення, +/-</t>
  </si>
  <si>
    <t>виконання, 
%</t>
  </si>
  <si>
    <t>відхилення, +,-</t>
  </si>
  <si>
    <t>відхилення, %</t>
  </si>
  <si>
    <t>відхилення, 
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</si>
  <si>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</si>
  <si>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</si>
  <si>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</si>
  <si>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</si>
  <si>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</si>
  <si>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</si>
  <si>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Кошти державного бюджету від Національної служби здоров'я України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</si>
  <si>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</si>
  <si>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</si>
  <si>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</si>
  <si>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</si>
  <si>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</si>
  <si>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</si>
  <si>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</si>
  <si>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</si>
  <si>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</si>
  <si>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Елементи операційних витрат:</t>
  </si>
  <si>
    <t>Залучення кредитних коштів</t>
  </si>
  <si>
    <t>Усього:</t>
  </si>
  <si>
    <t>за І півріччя 2020 року</t>
  </si>
  <si>
    <t>за І півріччя 2021 року</t>
  </si>
  <si>
    <t>Звітний за І півріччя 2021 року</t>
  </si>
  <si>
    <t>План 
на І півріччя 2021 року</t>
  </si>
  <si>
    <t>Факт 
за І півріччя 2021 року</t>
  </si>
  <si>
    <t>Факт                   за І півріччя 2020 року</t>
  </si>
  <si>
    <t xml:space="preserve">Нараховані до сплати податки та збори до Державного бюджету України (податкові платежі) </t>
  </si>
  <si>
    <t>1.1.1</t>
  </si>
  <si>
    <t xml:space="preserve">медикаменти та перев'язувальні матеріали </t>
  </si>
  <si>
    <t>харчування</t>
  </si>
  <si>
    <t>витрати на сировину для молочної кухні</t>
  </si>
  <si>
    <t>паливно-мастильні метеріали, запчастини (авто)</t>
  </si>
  <si>
    <t>медичне обладнання</t>
  </si>
  <si>
    <t>1.1.2</t>
  </si>
  <si>
    <t>1.1.3</t>
  </si>
  <si>
    <t>1.1.4</t>
  </si>
  <si>
    <t>1.1.5</t>
  </si>
  <si>
    <t>Інші витрати, усього, у тому числі:</t>
  </si>
  <si>
    <t>наркопрофогляд, медогляд</t>
  </si>
  <si>
    <t>гістологічні дослідження</t>
  </si>
  <si>
    <t>скринінгові дослідження новонароджених</t>
  </si>
  <si>
    <t>дослідження на ВІЛ</t>
  </si>
  <si>
    <t>бактеріологічні дослідження</t>
  </si>
  <si>
    <t xml:space="preserve">ремонт та технічне обслуговування медичного обладнання </t>
  </si>
  <si>
    <t>повірка медичного обладнання</t>
  </si>
  <si>
    <t>технічне обслуговування та ремонт ліфтів</t>
  </si>
  <si>
    <t>телекомунікаційні послуги</t>
  </si>
  <si>
    <t>1.2.2</t>
  </si>
  <si>
    <t>1.2.3</t>
  </si>
  <si>
    <t>1.2.5</t>
  </si>
  <si>
    <t>Інші адмінінстративні витрати, усього, у тому числі</t>
  </si>
  <si>
    <t>супровід програмного забезпечення, медіа-супровід, обслуговування сайту, кваліфікований електронний підпис</t>
  </si>
  <si>
    <t xml:space="preserve">охоронна сигналізація </t>
  </si>
  <si>
    <t>1.3.2</t>
  </si>
  <si>
    <t>1.3.3</t>
  </si>
  <si>
    <t>1.3.5</t>
  </si>
  <si>
    <t>пільгова пенсія</t>
  </si>
  <si>
    <t>Кошти від надання послуг з  медичної діяльності</t>
  </si>
  <si>
    <t>господарські товари, техн. засоби, електрозберігаючі лампочки,  будівельні матеріали, засоби для прибирання та гігієни</t>
  </si>
  <si>
    <t>канцтовари, періодичні видання, бланки, журнали</t>
  </si>
  <si>
    <t xml:space="preserve">запчастини до медичного обладнання, основних засобів, інших необороних матеріальних активів та  та інші необороні матеріальні активи </t>
  </si>
  <si>
    <t>немедичне обладнання</t>
  </si>
  <si>
    <t>меблі</t>
  </si>
  <si>
    <t>дозометричний контроль</t>
  </si>
  <si>
    <t xml:space="preserve">ремонт та технічне обслуговування немедичного обладнання </t>
  </si>
  <si>
    <t>ремонт та технічне обслуговування ПК та оргтехніки</t>
  </si>
  <si>
    <t>ремонт приміщень</t>
  </si>
  <si>
    <t>страхування працівників</t>
  </si>
  <si>
    <t>страхування майна</t>
  </si>
  <si>
    <t>оцінка майна</t>
  </si>
  <si>
    <t>утилізація, дезенфекція</t>
  </si>
  <si>
    <t>публікація в газеті</t>
  </si>
  <si>
    <t xml:space="preserve">поповнення смарт-карток для проїзду 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</si>
  <si>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</si>
  <si>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</si>
  <si>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</si>
  <si>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вивіз сміття</t>
  </si>
  <si>
    <t>експертний висновок (доступність будівель)</t>
  </si>
  <si>
    <t>послуги з навчання</t>
  </si>
  <si>
    <t>проїзні квитки</t>
  </si>
  <si>
    <t>Інші  адміністративні витрати, усього, у тому числі:</t>
  </si>
  <si>
    <t>проведення наглядового аудиту сертифікації управління якістю</t>
  </si>
  <si>
    <t>ремонт та повірка медобладнання, побутової техніки, вимірювання опору заземлення, утилізація, вимірювання дози зовнішнього опромінення</t>
  </si>
  <si>
    <t>послуги з захоронення мертвонародженого плоду</t>
  </si>
  <si>
    <t>ліцензія</t>
  </si>
  <si>
    <t>пеня</t>
  </si>
  <si>
    <t>Кошти від реалізації продукції молочної кухні</t>
  </si>
  <si>
    <t>3.1.1</t>
  </si>
  <si>
    <t>паливно-мастильні матеріали, запчастини (авто)</t>
  </si>
  <si>
    <t>основні засоби та інші необоротні матеріальні активи, запчастини до медичного обладнання, основних засобів та інших необоротних матеріальни активів</t>
  </si>
  <si>
    <t>Інші витрати, у сього, у т.ч.:</t>
  </si>
  <si>
    <t>ремонт та технічне обслуговування немедичного обладнання</t>
  </si>
  <si>
    <t>ремонт та технічне обслуговування авто</t>
  </si>
  <si>
    <t>розрахунок норми витрат палива</t>
  </si>
  <si>
    <t>страхування цивільно-правової відповідальності власників транспортних засобів</t>
  </si>
  <si>
    <t>страхування</t>
  </si>
  <si>
    <t>обслуговування персонального комп'ютера</t>
  </si>
  <si>
    <t>банківські послуги, система управління якістю</t>
  </si>
  <si>
    <t>відключення від системи газопостачання</t>
  </si>
  <si>
    <r>
      <t xml:space="preserve">Кошти від надання послуг з  немедичної діяльності </t>
    </r>
    <r>
      <rPr>
        <i/>
        <sz val="16"/>
        <rFont val="Times New Roman"/>
        <family val="1"/>
        <charset val="204"/>
      </rPr>
      <t>(платні палати, стажування інтернів, відшкодування від страхової компанії)</t>
    </r>
  </si>
  <si>
    <t>4.1.1</t>
  </si>
  <si>
    <t>Інші  витрати, усього, у т.ч.:</t>
  </si>
  <si>
    <t>оцінка приміщень/обладнання</t>
  </si>
  <si>
    <t>інформаційно-консультаційні послуги</t>
  </si>
  <si>
    <t>фотозйомка для Google Map</t>
  </si>
  <si>
    <t>Інші операційні витрати, усього, в т.ч.:</t>
  </si>
  <si>
    <t>експертний висновок</t>
  </si>
  <si>
    <t>податок на додану вартість</t>
  </si>
  <si>
    <t>Кошти медичної субвенції з державного бюджету</t>
  </si>
  <si>
    <t>6.</t>
  </si>
  <si>
    <t>Кошти медичної субвенції з державного бюджету за рахунок залишків запасів минулих перодів</t>
  </si>
  <si>
    <t>7.</t>
  </si>
  <si>
    <t>7.1</t>
  </si>
  <si>
    <t>7.1.2</t>
  </si>
  <si>
    <t>7.1.3</t>
  </si>
  <si>
    <t>8.</t>
  </si>
  <si>
    <t>Кошти бюджету ВМОТГ/кошти бюджету ВМТГ</t>
  </si>
  <si>
    <t>8.1</t>
  </si>
  <si>
    <t>8.1.1</t>
  </si>
  <si>
    <t>витратні матеріали для хворих, що знаходяться на лікуванні у відділенні анестезіології  2019-n CoV</t>
  </si>
  <si>
    <t>витратні матеріали для хворих на цукровий діабет</t>
  </si>
  <si>
    <t>медикаменти 2019-n CoV</t>
  </si>
  <si>
    <t xml:space="preserve">оплата електроенергії </t>
  </si>
  <si>
    <t xml:space="preserve">вивіз  сміття </t>
  </si>
  <si>
    <t>витрати на інформатизацію</t>
  </si>
  <si>
    <t>Кошти, отримані від реалізації в установленому порядку майна (крім нерухомого майна)</t>
  </si>
  <si>
    <t>11.</t>
  </si>
  <si>
    <t>Надходження від відсотків за залишками коштів на поточних рахунках</t>
  </si>
  <si>
    <t>Благодійна допомога в натуральній формі</t>
  </si>
  <si>
    <t>14.</t>
  </si>
  <si>
    <t xml:space="preserve">Благодійна допомога в грошовому еквіваленті </t>
  </si>
  <si>
    <t>16.</t>
  </si>
  <si>
    <t>Надходження від відсотків за залишками коштів на депозитних рахунках</t>
  </si>
  <si>
    <t>16.1</t>
  </si>
  <si>
    <t>ремонт та технічне обслуговування медичного обладнання</t>
  </si>
  <si>
    <t>банківські послуги</t>
  </si>
  <si>
    <t>17.</t>
  </si>
  <si>
    <t>Нарахування амортизації на безоплатно отримані активи, усього, у т.ч.:</t>
  </si>
  <si>
    <t>нарахування амортизації на безоплатно отримані активи</t>
  </si>
  <si>
    <t>кошти державного бюджету від Національної служби здоров'я України</t>
  </si>
  <si>
    <t>кошти від надання послуг з  медичної діяльності</t>
  </si>
  <si>
    <t>кошти від реалізації продукції молочної кухні</t>
  </si>
  <si>
    <r>
      <t xml:space="preserve">кошти від надання послуг з  немедичної діяльності </t>
    </r>
    <r>
      <rPr>
        <i/>
        <sz val="14"/>
        <rFont val="Times New Roman"/>
        <family val="1"/>
        <charset val="204"/>
      </rPr>
      <t xml:space="preserve"> (платні палати, стажування інтернів, відшкодування від страхової компанії)</t>
    </r>
  </si>
  <si>
    <t>кошти медичної субвенції з державного бюджету</t>
  </si>
  <si>
    <r>
      <t xml:space="preserve">кошти державного бюджету </t>
    </r>
    <r>
      <rPr>
        <i/>
        <sz val="14"/>
        <rFont val="Times New Roman"/>
        <family val="1"/>
        <charset val="204"/>
      </rPr>
      <t>(відшкодування лікарям-інтернам за проходження інтернатури</t>
    </r>
    <r>
      <rPr>
        <sz val="14"/>
        <rFont val="Times New Roman"/>
        <family val="1"/>
        <charset val="204"/>
      </rPr>
      <t>)</t>
    </r>
  </si>
  <si>
    <t>кошти бюджету ВМОТГ/кошти  бюджету ВМТГ</t>
  </si>
  <si>
    <r>
      <t>кошти від власних надходжень (</t>
    </r>
    <r>
      <rPr>
        <i/>
        <sz val="14"/>
        <rFont val="Times New Roman"/>
        <family val="1"/>
        <charset val="204"/>
      </rPr>
      <t>платні</t>
    </r>
    <r>
      <rPr>
        <sz val="14"/>
        <rFont val="Times New Roman"/>
        <family val="1"/>
        <charset val="204"/>
      </rPr>
      <t xml:space="preserve"> </t>
    </r>
    <r>
      <rPr>
        <i/>
        <sz val="14"/>
        <rFont val="Times New Roman"/>
        <family val="1"/>
        <charset val="204"/>
      </rPr>
      <t>палати, стажування інтернів, відшкодування від страхової компанії</t>
    </r>
    <r>
      <rPr>
        <sz val="14"/>
        <rFont val="Times New Roman"/>
        <family val="1"/>
        <charset val="204"/>
      </rPr>
      <t>)</t>
    </r>
  </si>
  <si>
    <t>кошти, отримані від реалізації в установленому порядку майна (крім нерухомого майна)</t>
  </si>
  <si>
    <r>
      <t xml:space="preserve">кошти орендарів </t>
    </r>
    <r>
      <rPr>
        <i/>
        <sz val="14"/>
        <rFont val="Times New Roman"/>
        <family val="1"/>
        <charset val="204"/>
      </rPr>
      <t>(енергоносії)</t>
    </r>
  </si>
  <si>
    <t>надходження від відсотків за залишками коштів на поточних рахунках</t>
  </si>
  <si>
    <t>благодійна допомога в грошовому еквіваленті</t>
  </si>
  <si>
    <t>благодійна допомога в натуральній формі</t>
  </si>
  <si>
    <t>дохід від курсової різниці на залишок коштів валютного рахунку</t>
  </si>
  <si>
    <t>надходження від відсотків за залишками коштів на депозитних рахунках</t>
  </si>
  <si>
    <t>медикаменти та перев'язувальні матеріали</t>
  </si>
  <si>
    <t>5.1.1</t>
  </si>
  <si>
    <t>лікарняні листи, марки, конверти</t>
  </si>
  <si>
    <t xml:space="preserve">ремонт приміщень </t>
  </si>
  <si>
    <t>5.3.1</t>
  </si>
  <si>
    <t>програма "СТОП ГРИП"</t>
  </si>
  <si>
    <t>медичне транспортування</t>
  </si>
  <si>
    <t>хімреактиви, реагенти тощо</t>
  </si>
  <si>
    <t>псування матеріальних цінностей</t>
  </si>
  <si>
    <t>ремонт прибудинкової території</t>
  </si>
  <si>
    <t>4.2.1</t>
  </si>
  <si>
    <t>податок на землю</t>
  </si>
  <si>
    <t>витратні матеріали для молочної кухні</t>
  </si>
  <si>
    <t>оплата природного газу</t>
  </si>
  <si>
    <t>технічне обслуговування газопроводу</t>
  </si>
  <si>
    <t>14.1</t>
  </si>
  <si>
    <t>медикаменти (страхова)</t>
  </si>
  <si>
    <t>оцінка приміщення</t>
  </si>
  <si>
    <t>курсова різниця</t>
  </si>
  <si>
    <t>апарат для штучної вентиляції легень SLE1000 СРАР (Англія)</t>
  </si>
  <si>
    <t>світильник операційний L735-ІІ 5-ти рефлекторний</t>
  </si>
  <si>
    <t>набір шаф 1 комплект</t>
  </si>
  <si>
    <t>комплект стелажів</t>
  </si>
  <si>
    <t>припливно-витяжна система вентиляції повітря (2 шт)</t>
  </si>
  <si>
    <t>припливно-витяжна система вентиляції повітря (4 шт)</t>
  </si>
  <si>
    <t>фотокалітичний знезаражувач і очисник повітря (7 шт)</t>
  </si>
  <si>
    <t>установка (рамка) дезінфікуюча (4 шт)</t>
  </si>
  <si>
    <t>автоматичний біохімічний аналізатор ACCENT</t>
  </si>
  <si>
    <t>автоматичний гематологічний аналізатор Abacus</t>
  </si>
  <si>
    <t xml:space="preserve">дефібрилятор-монітор BeneHeart </t>
  </si>
  <si>
    <t>насос шприцевий BeneFusion (4 шт)</t>
  </si>
  <si>
    <t>напівавтоматичний 2-канальний коагулометр</t>
  </si>
  <si>
    <t>опромінювач з пеленальним столом типу АИСТ-3</t>
  </si>
  <si>
    <t>реаніматор для новонароджених Т-типу NeopuffTM</t>
  </si>
  <si>
    <t>ультразвукова система Affiniti</t>
  </si>
  <si>
    <t>холодильна шафа-вітрина "ICE STREAM" (2 шт)</t>
  </si>
  <si>
    <t>вітрина холодильна "FROST STREAM"</t>
  </si>
  <si>
    <t>насос шприцевий BeneFusion (5 шт)</t>
  </si>
  <si>
    <t>шафа</t>
  </si>
  <si>
    <t>фонтан</t>
  </si>
  <si>
    <t>придбання персональних комп'ютерів та оргтехніки(у 2019 році- комп'ютерів 27шт, принтерів18 шт.; у 2020 році- 22 комп'ютера, 25 принтерів)</t>
  </si>
  <si>
    <t>стіл в вестибюль</t>
  </si>
  <si>
    <t>стіл кухонний</t>
  </si>
  <si>
    <t>стіл комп'ютерний</t>
  </si>
  <si>
    <t>жалюзі вертикальні (5 шт)</t>
  </si>
  <si>
    <t>ролети тканеві (12 шт)</t>
  </si>
  <si>
    <t>візок для перевезення їжі</t>
  </si>
  <si>
    <t>стілець (25 шт)</t>
  </si>
  <si>
    <t>крісло</t>
  </si>
  <si>
    <t>стіл з полицями та надбудовою (7 шт)</t>
  </si>
  <si>
    <t>стіл з бортом пристінний (5 шт)</t>
  </si>
  <si>
    <t>стіл</t>
  </si>
  <si>
    <t>посібник "Публічні закупівлі, практичні рішення та алгоритм проведення торгів"</t>
  </si>
  <si>
    <t>інгалятор компресорний ONRON</t>
  </si>
  <si>
    <t>лічильник ЛС механічний (2 шт)</t>
  </si>
  <si>
    <t>відбійник</t>
  </si>
  <si>
    <t>реконструкція території насосної з улаштуванням приміщень для медичних відходів та тимчасоввої стоянки для автомобілів КНП "ВМКЛ "ЦМтаД" по вул.Маяковського, 138 м.Вінниці</t>
  </si>
  <si>
    <t>науково-технічні роботи</t>
  </si>
  <si>
    <t>паливно-мастильні матеріали</t>
  </si>
  <si>
    <t>наркопрофогляд</t>
  </si>
  <si>
    <t>Кошти бюджету ВМОТГ/кошти бюджету ВМТГ за рахунок запасів минулих періодів</t>
  </si>
  <si>
    <t xml:space="preserve">витратні матеріали для хворих, що знаходяться на лікуванні у відділенні анестезіології  </t>
  </si>
  <si>
    <t xml:space="preserve">лікарняні листи </t>
  </si>
  <si>
    <t>господарські товари, технічні засоби, енергозберігаючі лампочки,  будівельні матеріали, засоби для прибирання та гігієни</t>
  </si>
  <si>
    <t xml:space="preserve">запчастини до медичного обладнання, основних засобів, інших необороних матеріальних активів та інші необороні матеріальні активи </t>
  </si>
  <si>
    <t>ремонт приміщень та інженерних мереж</t>
  </si>
  <si>
    <t xml:space="preserve">ремонт та технічне обслуговування авто </t>
  </si>
  <si>
    <t>ремонт та обслуговування ліфтів</t>
  </si>
  <si>
    <t xml:space="preserve">оцінка майна </t>
  </si>
  <si>
    <t xml:space="preserve">вивіз сміття </t>
  </si>
  <si>
    <t>ПДВ</t>
  </si>
  <si>
    <t xml:space="preserve">земельний податок </t>
  </si>
  <si>
    <t>послуги ззахоронення мертвонароджего плоду</t>
  </si>
  <si>
    <t xml:space="preserve">лікарняні листи, марки, конверти </t>
  </si>
  <si>
    <t xml:space="preserve">хімреактиви, реагенти, тощо </t>
  </si>
  <si>
    <t>наркопрофогляд, медогляд, бакобстеження</t>
  </si>
  <si>
    <t>транспортування</t>
  </si>
  <si>
    <t xml:space="preserve">проїздні квитки </t>
  </si>
  <si>
    <t xml:space="preserve">витратні матеріали для молочної кухні </t>
  </si>
  <si>
    <t xml:space="preserve">оплата природного газу </t>
  </si>
  <si>
    <t xml:space="preserve">страхування </t>
  </si>
  <si>
    <t xml:space="preserve">втрати від курсових різниць </t>
  </si>
  <si>
    <t xml:space="preserve">технічне обслуговування газопроводу </t>
  </si>
  <si>
    <t>план І півріччя 2021</t>
  </si>
  <si>
    <t>факт І півріччя 2020</t>
  </si>
  <si>
    <t>факт І півріччя 2021</t>
  </si>
  <si>
    <t>кошти медичної субвенції з державного бюджету за рахунок залишків запасів минулих перодів</t>
  </si>
  <si>
    <t>дохід від оприбуткування вторсировини (металобрухт)</t>
  </si>
  <si>
    <t>13.1</t>
  </si>
  <si>
    <t>17.1</t>
  </si>
  <si>
    <t xml:space="preserve">науково-технічні роботи </t>
  </si>
  <si>
    <t>Директор КНП "ВМКЛ"ЦМтаД"</t>
  </si>
  <si>
    <t>Директор КНП"ВМКЛ"ЦМтаД"</t>
  </si>
  <si>
    <r>
      <t>Директор КНП"ВМКЛ"ЦМтаД"</t>
    </r>
    <r>
      <rPr>
        <u/>
        <sz val="16"/>
        <color theme="1"/>
        <rFont val="Times New Roman"/>
        <family val="1"/>
        <charset val="204"/>
      </rPr>
      <t xml:space="preserve"> </t>
    </r>
  </si>
  <si>
    <t>12.</t>
  </si>
  <si>
    <t>12.1</t>
  </si>
  <si>
    <t>14.2</t>
  </si>
  <si>
    <t>15.</t>
  </si>
  <si>
    <t>15.1</t>
  </si>
  <si>
    <t>кошти бюджету ВМОТГ/кошти бюджету ВМТГ за рахунок запасів минулих періодів</t>
  </si>
  <si>
    <r>
      <t>Кошти державного бюджету (</t>
    </r>
    <r>
      <rPr>
        <b/>
        <i/>
        <sz val="14"/>
        <rFont val="Times New Roman"/>
        <family val="1"/>
        <charset val="204"/>
      </rPr>
      <t>відшкодування лікарям-інтернам за проходження інтернатури)</t>
    </r>
  </si>
  <si>
    <r>
      <t xml:space="preserve">Кошти орендарів </t>
    </r>
    <r>
      <rPr>
        <b/>
        <i/>
        <sz val="14"/>
        <rFont val="Times New Roman"/>
        <family val="1"/>
        <charset val="204"/>
      </rPr>
      <t>(енергоносії)</t>
    </r>
  </si>
  <si>
    <t>4.1.5</t>
  </si>
  <si>
    <t>4.2.5</t>
  </si>
  <si>
    <t>4.3.5</t>
  </si>
  <si>
    <t>5.1.5</t>
  </si>
  <si>
    <t>5.2.5</t>
  </si>
  <si>
    <t>5.3.5</t>
  </si>
  <si>
    <t>6.1.1</t>
  </si>
  <si>
    <t>10.</t>
  </si>
  <si>
    <t>10.1.5</t>
  </si>
  <si>
    <t>13.1.5</t>
  </si>
  <si>
    <t>14.1.5</t>
  </si>
  <si>
    <t>14.2.5</t>
  </si>
  <si>
    <t>15.1.5</t>
  </si>
  <si>
    <t>Адміністративні витрати, усього, в т.ч.:</t>
  </si>
  <si>
    <t>Собівартість реалізованої продукції (товарів, робіт, послуг)</t>
  </si>
  <si>
    <t xml:space="preserve">вертикальний підйомник для інвалідів та інших мало мобільних груп населення (2 шт)                                                 </t>
  </si>
  <si>
    <t xml:space="preserve">шафа з вітриною 2,3*2,4*0,5          </t>
  </si>
  <si>
    <t xml:space="preserve">шафа універсальна 2-х секційна 2,0*1,0*0,45    </t>
  </si>
  <si>
    <t xml:space="preserve">шафа 2,3*1,05*0,6   </t>
  </si>
  <si>
    <t>шафа 2,3*1,2*0,6</t>
  </si>
  <si>
    <t xml:space="preserve">кольпоскоп МК-300 з відеосистемою       </t>
  </si>
  <si>
    <t xml:space="preserve">джерело безперебійного живлення Powercom Macan MAC OnLine                                </t>
  </si>
  <si>
    <t xml:space="preserve">кухня ДСП з стіновою панеллю  </t>
  </si>
  <si>
    <t xml:space="preserve">кухонний гарнітур (стільниці з тумбами та мийками) </t>
  </si>
  <si>
    <t xml:space="preserve">апарат електрохірургічний "Фотек"     </t>
  </si>
  <si>
    <t xml:space="preserve">дозатор механічний одноканальний Proline 20-200 мкл.       </t>
  </si>
  <si>
    <t>вентилятор побутовий 100С1, 94м3/год Домовент (2шт)</t>
  </si>
  <si>
    <t xml:space="preserve">комплект: тумба з умивальником, дзеркало  </t>
  </si>
  <si>
    <t xml:space="preserve">гігрометр ВІТ-Ш-2(+16+40С)ТУ З України 14307481.001-92 УКТЗЕД 9025808010 (5 шт)                                                                                                                                </t>
  </si>
  <si>
    <t xml:space="preserve">стіл зі стільниці                                                                                                                                                                                       </t>
  </si>
  <si>
    <t>ліжко 0,9*2,0 з каркасом металевий з ніжками (6 шт)</t>
  </si>
  <si>
    <t>матрац пружиний 0,9*2,0   (6 шт)</t>
  </si>
  <si>
    <t xml:space="preserve">мийка 0,57*0,445   </t>
  </si>
  <si>
    <t xml:space="preserve">стелаж трирівневий 1500*1000 з н/ж сталі       </t>
  </si>
  <si>
    <t xml:space="preserve">блендер BPAUN MQ5237BK  </t>
  </si>
  <si>
    <t xml:space="preserve">електрочайник Grunhelm                               </t>
  </si>
  <si>
    <t xml:space="preserve">мікрохвильова піч Delfa AMW-20MB (2 шт)       </t>
  </si>
  <si>
    <t xml:space="preserve">пульт електронний для керування блоком тенів 7500Вт 3*400 в  </t>
  </si>
  <si>
    <t xml:space="preserve">тканеві ролети беста-міні (10 шт)    </t>
  </si>
  <si>
    <t xml:space="preserve">вертикальні жалюзі                                                                                                                                                                                      </t>
  </si>
  <si>
    <t>інформаційний стенд(6 шт)</t>
  </si>
  <si>
    <t>інформаційний стенд (6 шт)</t>
  </si>
  <si>
    <t xml:space="preserve">принтер А4 Epson 1-Series </t>
  </si>
  <si>
    <t xml:space="preserve">детектор індивідуального моніторингу ДТГ-4 (ДТУ)  </t>
  </si>
  <si>
    <t xml:space="preserve">вогнегасник ВП-5  (4 шт)        </t>
  </si>
  <si>
    <t xml:space="preserve">пральна машина Indesit IWUC 40851    </t>
  </si>
  <si>
    <t xml:space="preserve">бактерицидна лампа Bactosfera OBB 15                  </t>
  </si>
  <si>
    <t xml:space="preserve">компресорний небулайзер     </t>
  </si>
  <si>
    <t>тонометр педіатричний з трьома манжетами Little Doctor LD 80</t>
  </si>
  <si>
    <t xml:space="preserve">ваги електронні для новонароджених Momert 6475        </t>
  </si>
  <si>
    <t>пральна машина Indesit E2SC 2160 W UA</t>
  </si>
  <si>
    <t xml:space="preserve">ліжко лікарняне б/в           </t>
  </si>
  <si>
    <t xml:space="preserve">матрац Ех-2 0,8*1,9                           </t>
  </si>
  <si>
    <t xml:space="preserve">електрочайник Philips 1,5л 240 Вт </t>
  </si>
  <si>
    <t xml:space="preserve">електрочайник Holmer HKS (Скло) </t>
  </si>
  <si>
    <t xml:space="preserve">електричний чайник Grunhelm (3 шт)   </t>
  </si>
  <si>
    <t>мікрохвильова піч Delfa AMW-20MB (3 шт)</t>
  </si>
  <si>
    <t xml:space="preserve">холодильник Delfa (white 89*49.5*46.5 см) (3 шт)   </t>
  </si>
  <si>
    <t>стілець Аскона (чорний)  (10 шт)</t>
  </si>
  <si>
    <t xml:space="preserve">тумба приліжкова 0,6*0,5*0,6    (4шт)                               </t>
  </si>
  <si>
    <t>тумба приліжкова 0,67/0,6*0,5 (2 шт)</t>
  </si>
  <si>
    <t>балон для аргону   (3 шт)</t>
  </si>
  <si>
    <t>Бюджетне фінансування (кошти бюджету ВМТГ/кошти бюджету ВМОТГ)</t>
  </si>
  <si>
    <t xml:space="preserve">ЗВІТ
 про виконання показників фінансового плану КНП  «Вінницька міська клінічна лікарня «Центр матері та дитини»
за І півріччя 2021 року
   </t>
  </si>
  <si>
    <t>Фонд оплати праці</t>
  </si>
  <si>
    <t>план 
І півріччя 2021 року</t>
  </si>
  <si>
    <t>факт 
 І півріччя 2021 року</t>
  </si>
  <si>
    <t>17.2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</si>
  <si>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</si>
  <si>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Кошти за рахунок залишку на рахунку коштів державного бюджету від Національної служби здоров'я України</t>
  </si>
  <si>
    <t>Кошти за рахунок залишку запасів коштів державного бюджету від Національної служби здоров'я України</t>
  </si>
  <si>
    <t>2.1.2</t>
  </si>
  <si>
    <t>2.1.3</t>
  </si>
  <si>
    <t>4.1.4</t>
  </si>
  <si>
    <t>6.1.5</t>
  </si>
  <si>
    <t>6.2</t>
  </si>
  <si>
    <t>6.2.1</t>
  </si>
  <si>
    <t>6.2.5</t>
  </si>
  <si>
    <t>6.3</t>
  </si>
  <si>
    <t>6.3.5</t>
  </si>
  <si>
    <t>9.</t>
  </si>
  <si>
    <t>7.1.1</t>
  </si>
  <si>
    <t>7.1.5</t>
  </si>
  <si>
    <t>7.2</t>
  </si>
  <si>
    <t>7.2.1</t>
  </si>
  <si>
    <t>7.2.2</t>
  </si>
  <si>
    <t>7.2.3</t>
  </si>
  <si>
    <t>7.2.5</t>
  </si>
  <si>
    <t>7.3</t>
  </si>
  <si>
    <t>7.3.1</t>
  </si>
  <si>
    <t>7.3.2</t>
  </si>
  <si>
    <t>7.3.3</t>
  </si>
  <si>
    <t>7.3.5</t>
  </si>
  <si>
    <t>9.1</t>
  </si>
  <si>
    <t>9.1.2</t>
  </si>
  <si>
    <t>9.1.3</t>
  </si>
  <si>
    <t>10.1</t>
  </si>
  <si>
    <t>10.1.1</t>
  </si>
  <si>
    <t>10.1.2</t>
  </si>
  <si>
    <t>10.1.3</t>
  </si>
  <si>
    <t>10.2</t>
  </si>
  <si>
    <t>10.2.5</t>
  </si>
  <si>
    <t>10.3</t>
  </si>
  <si>
    <t>10.3.5</t>
  </si>
  <si>
    <t>11.1</t>
  </si>
  <si>
    <t>11.1.1</t>
  </si>
  <si>
    <t>12.1.5</t>
  </si>
  <si>
    <t>13.</t>
  </si>
  <si>
    <t>16.1.1</t>
  </si>
  <si>
    <t>17.1.5</t>
  </si>
  <si>
    <t>17.2.5</t>
  </si>
  <si>
    <t>18.</t>
  </si>
  <si>
    <t>18.1</t>
  </si>
  <si>
    <t>18.1.5</t>
  </si>
  <si>
    <t>19.</t>
  </si>
  <si>
    <t>19.1</t>
  </si>
  <si>
    <t>19.2</t>
  </si>
  <si>
    <t>Кошти, отримані від реалізації в установленому порядку майна (крім нерухомого майна) за рахунок минулих періодів</t>
  </si>
  <si>
    <t xml:space="preserve">Кошти орендарів (енергоносіїв) за рахунок залишку минулих періодів </t>
  </si>
  <si>
    <t>17.1.1</t>
  </si>
  <si>
    <t>17.3</t>
  </si>
  <si>
    <t>17.3.5</t>
  </si>
  <si>
    <t>18.1.1</t>
  </si>
  <si>
    <t>18.1.4</t>
  </si>
  <si>
    <t>18.2</t>
  </si>
  <si>
    <t>18.2.1</t>
  </si>
  <si>
    <t>18.2.5</t>
  </si>
  <si>
    <t>19.1.5</t>
  </si>
  <si>
    <t>19.2.5</t>
  </si>
  <si>
    <t>20.</t>
  </si>
  <si>
    <t>20.1</t>
  </si>
  <si>
    <t>20.1.5</t>
  </si>
  <si>
    <t>21.</t>
  </si>
  <si>
    <t>21.1</t>
  </si>
  <si>
    <t>21.1.4</t>
  </si>
  <si>
    <t>21.2</t>
  </si>
  <si>
    <t>21.2.4</t>
  </si>
  <si>
    <t>кошти орендарів (енергоносії)</t>
  </si>
  <si>
    <t>Інші джерела (благодійні кошти, НСЗУ)</t>
  </si>
  <si>
    <t>Власні кошти (платні послуги)</t>
  </si>
  <si>
    <t>Дохід від курсової різниці на залишок коштів валютного рахунку за рахунок залишку минулих періодів</t>
  </si>
  <si>
    <t xml:space="preserve">Розшифровка до розділу  IV. "Капітальні інвестиції за джерелами надходження"  </t>
  </si>
  <si>
    <t>Володимир ПРИСЯЖНЮК</t>
  </si>
  <si>
    <t xml:space="preserve">                (підпис)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</si>
</sst>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79" formatCode="_-* #,##0.0\ _₴_-;\-* #,##0.0\ _₴_-;_-* &quot;-&quot;?\ _₴_-;_-@_-"/>
  </numFmts>
  <fonts count="8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u/>
      <sz val="16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b/>
      <sz val="18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  <xf numFmtId="0" fontId="5" fillId="0" borderId="0"/>
  </cellStyleXfs>
  <cellXfs count="320">
    <xf numFmtId="0" fontId="0" fillId="0" borderId="0" xfId="0"/>
    <xf numFmtId="178" fontId="66" fillId="29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vertical="center"/>
    </xf>
    <xf numFmtId="0" fontId="62" fillId="0" borderId="0" xfId="0" applyFont="1" applyFill="1" applyAlignment="1">
      <alignment horizontal="left" vertical="center"/>
    </xf>
    <xf numFmtId="0" fontId="62" fillId="0" borderId="0" xfId="0" applyFont="1" applyFill="1" applyAlignment="1">
      <alignment horizontal="center" vertical="center"/>
    </xf>
    <xf numFmtId="0" fontId="68" fillId="0" borderId="0" xfId="0" applyFont="1" applyFill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 shrinkToFit="1"/>
    </xf>
    <xf numFmtId="0" fontId="66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/>
    </xf>
    <xf numFmtId="178" fontId="62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 wrapText="1"/>
    </xf>
    <xf numFmtId="0" fontId="66" fillId="29" borderId="20" xfId="182" applyFont="1" applyFill="1" applyBorder="1" applyAlignment="1">
      <alignment vertical="center" wrapText="1"/>
      <protection locked="0"/>
    </xf>
    <xf numFmtId="0" fontId="62" fillId="29" borderId="22" xfId="0" applyFont="1" applyFill="1" applyBorder="1" applyAlignment="1">
      <alignment horizontal="left" vertical="center" wrapText="1"/>
    </xf>
    <xf numFmtId="0" fontId="62" fillId="29" borderId="23" xfId="0" applyFont="1" applyFill="1" applyBorder="1" applyAlignment="1">
      <alignment horizontal="center" vertical="center"/>
    </xf>
    <xf numFmtId="49" fontId="66" fillId="29" borderId="3" xfId="0" applyNumberFormat="1" applyFont="1" applyFill="1" applyBorder="1" applyAlignment="1">
      <alignment horizontal="center" vertical="center"/>
    </xf>
    <xf numFmtId="177" fontId="66" fillId="29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vertical="center"/>
    </xf>
    <xf numFmtId="177" fontId="62" fillId="29" borderId="3" xfId="0" applyNumberFormat="1" applyFont="1" applyFill="1" applyBorder="1" applyAlignment="1">
      <alignment horizontal="center" vertical="center" wrapText="1"/>
    </xf>
    <xf numFmtId="173" fontId="62" fillId="29" borderId="3" xfId="0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 applyProtection="1">
      <alignment horizontal="left" vertical="center"/>
      <protection locked="0"/>
    </xf>
    <xf numFmtId="170" fontId="66" fillId="0" borderId="0" xfId="0" applyNumberFormat="1" applyFont="1" applyFill="1" applyBorder="1" applyAlignment="1">
      <alignment horizontal="center" vertical="center" wrapText="1"/>
    </xf>
    <xf numFmtId="170" fontId="66" fillId="0" borderId="0" xfId="0" applyNumberFormat="1" applyFont="1" applyFill="1" applyBorder="1" applyAlignment="1">
      <alignment horizontal="right" vertical="center" wrapText="1"/>
    </xf>
    <xf numFmtId="170" fontId="62" fillId="0" borderId="0" xfId="0" applyNumberFormat="1" applyFont="1" applyFill="1" applyBorder="1" applyAlignment="1">
      <alignment horizontal="center" vertical="center" wrapText="1"/>
    </xf>
    <xf numFmtId="0" fontId="62" fillId="0" borderId="0" xfId="0" quotePrefix="1" applyFont="1" applyFill="1" applyBorder="1" applyAlignment="1">
      <alignment horizontal="center" vertical="center"/>
    </xf>
    <xf numFmtId="170" fontId="68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 wrapText="1"/>
    </xf>
    <xf numFmtId="178" fontId="63" fillId="29" borderId="3" xfId="0" applyNumberFormat="1" applyFont="1" applyFill="1" applyBorder="1" applyAlignment="1">
      <alignment horizontal="center" vertical="center" wrapText="1"/>
    </xf>
    <xf numFmtId="178" fontId="65" fillId="29" borderId="3" xfId="0" applyNumberFormat="1" applyFont="1" applyFill="1" applyBorder="1" applyAlignment="1">
      <alignment horizontal="center" vertical="center" wrapText="1"/>
    </xf>
    <xf numFmtId="0" fontId="65" fillId="29" borderId="0" xfId="0" quotePrefix="1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17" xfId="0" applyFont="1" applyFill="1" applyBorder="1" applyAlignment="1">
      <alignment horizontal="center" vertical="center"/>
    </xf>
    <xf numFmtId="0" fontId="62" fillId="0" borderId="17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178" fontId="62" fillId="29" borderId="23" xfId="0" applyNumberFormat="1" applyFont="1" applyFill="1" applyBorder="1" applyAlignment="1">
      <alignment horizontal="center" vertical="center" wrapText="1"/>
    </xf>
    <xf numFmtId="170" fontId="62" fillId="29" borderId="23" xfId="0" applyNumberFormat="1" applyFont="1" applyFill="1" applyBorder="1" applyAlignment="1">
      <alignment horizontal="center" vertical="center" wrapText="1"/>
    </xf>
    <xf numFmtId="0" fontId="66" fillId="29" borderId="20" xfId="0" applyFont="1" applyFill="1" applyBorder="1" applyAlignment="1" applyProtection="1">
      <alignment horizontal="left" vertical="center" wrapText="1"/>
      <protection locked="0"/>
    </xf>
    <xf numFmtId="170" fontId="66" fillId="29" borderId="12" xfId="0" applyNumberFormat="1" applyFont="1" applyFill="1" applyBorder="1" applyAlignment="1">
      <alignment horizontal="center" vertical="center" wrapText="1"/>
    </xf>
    <xf numFmtId="0" fontId="62" fillId="29" borderId="20" xfId="182" applyFont="1" applyFill="1" applyBorder="1" applyAlignment="1">
      <alignment vertical="center" wrapText="1"/>
      <protection locked="0"/>
    </xf>
    <xf numFmtId="170" fontId="62" fillId="29" borderId="12" xfId="0" applyNumberFormat="1" applyFont="1" applyFill="1" applyBorder="1" applyAlignment="1">
      <alignment horizontal="center" vertical="center" wrapText="1"/>
    </xf>
    <xf numFmtId="0" fontId="62" fillId="29" borderId="22" xfId="182" applyFont="1" applyFill="1" applyBorder="1" applyAlignment="1">
      <alignment vertical="center" wrapText="1"/>
      <protection locked="0"/>
    </xf>
    <xf numFmtId="177" fontId="62" fillId="29" borderId="23" xfId="0" applyNumberFormat="1" applyFont="1" applyFill="1" applyBorder="1" applyAlignment="1">
      <alignment horizontal="center" vertical="center" wrapText="1"/>
    </xf>
    <xf numFmtId="178" fontId="66" fillId="29" borderId="12" xfId="0" applyNumberFormat="1" applyFont="1" applyFill="1" applyBorder="1" applyAlignment="1">
      <alignment horizontal="center" vertical="center" wrapText="1"/>
    </xf>
    <xf numFmtId="178" fontId="62" fillId="29" borderId="26" xfId="0" applyNumberFormat="1" applyFont="1" applyFill="1" applyBorder="1" applyAlignment="1">
      <alignment horizontal="center" vertical="center" wrapText="1"/>
    </xf>
    <xf numFmtId="0" fontId="62" fillId="0" borderId="31" xfId="0" applyFont="1" applyFill="1" applyBorder="1" applyAlignment="1">
      <alignment horizontal="center" vertical="center" wrapText="1"/>
    </xf>
    <xf numFmtId="0" fontId="62" fillId="0" borderId="3" xfId="0" applyFont="1" applyFill="1" applyBorder="1" applyAlignment="1">
      <alignment horizontal="center" vertical="center" wrapText="1"/>
    </xf>
    <xf numFmtId="0" fontId="78" fillId="29" borderId="3" xfId="0" applyFont="1" applyFill="1" applyBorder="1" applyAlignment="1">
      <alignment horizontal="left" vertical="center" wrapText="1"/>
    </xf>
    <xf numFmtId="0" fontId="78" fillId="29" borderId="3" xfId="0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vertical="center" wrapText="1"/>
    </xf>
    <xf numFmtId="0" fontId="78" fillId="29" borderId="3" xfId="0" applyFont="1" applyFill="1" applyBorder="1" applyAlignment="1">
      <alignment horizontal="center" vertical="center" wrapText="1"/>
    </xf>
    <xf numFmtId="0" fontId="78" fillId="29" borderId="15" xfId="0" applyFont="1" applyFill="1" applyBorder="1" applyAlignment="1">
      <alignment vertical="center" wrapText="1"/>
    </xf>
    <xf numFmtId="0" fontId="78" fillId="29" borderId="3" xfId="0" applyFont="1" applyFill="1" applyBorder="1" applyAlignment="1">
      <alignment vertical="center" wrapText="1"/>
    </xf>
    <xf numFmtId="0" fontId="63" fillId="29" borderId="3" xfId="0" applyFont="1" applyFill="1" applyBorder="1" applyAlignment="1">
      <alignment horizontal="center" vertical="center" wrapText="1"/>
    </xf>
    <xf numFmtId="0" fontId="65" fillId="29" borderId="15" xfId="0" applyFont="1" applyFill="1" applyBorder="1" applyAlignment="1">
      <alignment vertical="center" wrapText="1"/>
    </xf>
    <xf numFmtId="0" fontId="78" fillId="29" borderId="3" xfId="0" applyFont="1" applyFill="1" applyBorder="1" applyAlignment="1">
      <alignment vertical="center"/>
    </xf>
    <xf numFmtId="0" fontId="78" fillId="29" borderId="3" xfId="0" applyFont="1" applyFill="1" applyBorder="1" applyAlignment="1">
      <alignment horizontal="left" vertical="center"/>
    </xf>
    <xf numFmtId="49" fontId="63" fillId="29" borderId="3" xfId="0" applyNumberFormat="1" applyFont="1" applyFill="1" applyBorder="1" applyAlignment="1">
      <alignment horizontal="center" vertical="center"/>
    </xf>
    <xf numFmtId="49" fontId="64" fillId="29" borderId="3" xfId="0" applyNumberFormat="1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left" vertical="center" wrapText="1"/>
    </xf>
    <xf numFmtId="0" fontId="65" fillId="29" borderId="3" xfId="0" applyFont="1" applyFill="1" applyBorder="1" applyAlignment="1">
      <alignment horizontal="left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left" vertical="center"/>
    </xf>
    <xf numFmtId="178" fontId="65" fillId="29" borderId="3" xfId="0" applyNumberFormat="1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vertical="center"/>
    </xf>
    <xf numFmtId="0" fontId="65" fillId="29" borderId="0" xfId="0" applyFont="1" applyFill="1" applyBorder="1" applyAlignment="1">
      <alignment horizontal="left" vertical="center" wrapText="1"/>
    </xf>
    <xf numFmtId="170" fontId="65" fillId="29" borderId="0" xfId="0" applyNumberFormat="1" applyFont="1" applyFill="1" applyBorder="1" applyAlignment="1">
      <alignment horizontal="right" vertical="center" wrapText="1"/>
    </xf>
    <xf numFmtId="0" fontId="63" fillId="29" borderId="0" xfId="0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center" vertical="center" wrapText="1"/>
    </xf>
    <xf numFmtId="0" fontId="65" fillId="29" borderId="17" xfId="0" applyFont="1" applyFill="1" applyBorder="1" applyAlignment="1">
      <alignment horizontal="center" vertical="center"/>
    </xf>
    <xf numFmtId="0" fontId="65" fillId="29" borderId="17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/>
    </xf>
    <xf numFmtId="178" fontId="63" fillId="29" borderId="3" xfId="0" applyNumberFormat="1" applyFont="1" applyFill="1" applyBorder="1" applyAlignment="1">
      <alignment horizontal="center" vertical="center"/>
    </xf>
    <xf numFmtId="0" fontId="63" fillId="29" borderId="0" xfId="0" applyFont="1" applyFill="1" applyBorder="1" applyAlignment="1">
      <alignment vertical="center"/>
    </xf>
    <xf numFmtId="0" fontId="65" fillId="29" borderId="0" xfId="0" applyFont="1" applyFill="1" applyBorder="1" applyAlignment="1">
      <alignment vertical="center" wrapText="1"/>
    </xf>
    <xf numFmtId="170" fontId="65" fillId="29" borderId="0" xfId="0" applyNumberFormat="1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left" vertical="center"/>
    </xf>
    <xf numFmtId="0" fontId="65" fillId="29" borderId="0" xfId="0" applyFont="1" applyFill="1" applyBorder="1" applyAlignment="1">
      <alignment horizontal="center" vertical="center"/>
    </xf>
    <xf numFmtId="170" fontId="65" fillId="29" borderId="0" xfId="0" applyNumberFormat="1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left" vertical="center"/>
    </xf>
    <xf numFmtId="0" fontId="65" fillId="29" borderId="0" xfId="0" applyFont="1" applyFill="1" applyBorder="1" applyAlignment="1">
      <alignment horizontal="center" vertical="center"/>
    </xf>
    <xf numFmtId="0" fontId="64" fillId="29" borderId="3" xfId="0" applyFont="1" applyFill="1" applyBorder="1" applyAlignment="1">
      <alignment horizontal="center" vertical="center" wrapText="1"/>
    </xf>
    <xf numFmtId="0" fontId="65" fillId="29" borderId="13" xfId="0" applyFont="1" applyFill="1" applyBorder="1" applyAlignment="1">
      <alignment horizontal="center" vertical="center"/>
    </xf>
    <xf numFmtId="0" fontId="65" fillId="29" borderId="17" xfId="0" applyFont="1" applyFill="1" applyBorder="1" applyAlignment="1">
      <alignment horizontal="center" vertical="center" wrapText="1" shrinkToFit="1"/>
    </xf>
    <xf numFmtId="0" fontId="65" fillId="29" borderId="16" xfId="0" applyFont="1" applyFill="1" applyBorder="1" applyAlignment="1">
      <alignment horizontal="center" vertical="center" wrapText="1"/>
    </xf>
    <xf numFmtId="178" fontId="63" fillId="29" borderId="3" xfId="0" applyNumberFormat="1" applyFont="1" applyFill="1" applyBorder="1" applyAlignment="1">
      <alignment vertical="center"/>
    </xf>
    <xf numFmtId="178" fontId="76" fillId="29" borderId="3" xfId="0" applyNumberFormat="1" applyFont="1" applyFill="1" applyBorder="1" applyAlignment="1">
      <alignment horizontal="center" vertical="center" wrapText="1"/>
    </xf>
    <xf numFmtId="0" fontId="65" fillId="29" borderId="3" xfId="353" applyFont="1" applyFill="1" applyBorder="1" applyAlignment="1">
      <alignment horizontal="left" vertical="center" wrapText="1"/>
    </xf>
    <xf numFmtId="0" fontId="65" fillId="29" borderId="15" xfId="353" applyFont="1" applyFill="1" applyBorder="1" applyAlignment="1">
      <alignment vertical="center" wrapText="1"/>
    </xf>
    <xf numFmtId="0" fontId="64" fillId="29" borderId="3" xfId="0" quotePrefix="1" applyFont="1" applyFill="1" applyBorder="1" applyAlignment="1">
      <alignment horizontal="center" vertical="center"/>
    </xf>
    <xf numFmtId="178" fontId="65" fillId="29" borderId="3" xfId="0" applyNumberFormat="1" applyFont="1" applyFill="1" applyBorder="1" applyAlignment="1">
      <alignment vertical="center"/>
    </xf>
    <xf numFmtId="178" fontId="65" fillId="29" borderId="0" xfId="0" applyNumberFormat="1" applyFont="1" applyFill="1" applyBorder="1" applyAlignment="1">
      <alignment horizontal="center" vertical="center" wrapText="1"/>
    </xf>
    <xf numFmtId="178" fontId="65" fillId="29" borderId="0" xfId="0" applyNumberFormat="1" applyFont="1" applyFill="1" applyBorder="1" applyAlignment="1">
      <alignment vertical="center"/>
    </xf>
    <xf numFmtId="179" fontId="65" fillId="29" borderId="0" xfId="0" applyNumberFormat="1" applyFont="1" applyFill="1" applyBorder="1" applyAlignment="1">
      <alignment vertical="center"/>
    </xf>
    <xf numFmtId="0" fontId="76" fillId="29" borderId="0" xfId="0" applyFont="1" applyFill="1" applyBorder="1" applyAlignment="1">
      <alignment vertical="center"/>
    </xf>
    <xf numFmtId="0" fontId="80" fillId="29" borderId="0" xfId="0" applyFont="1" applyFill="1" applyBorder="1" applyAlignment="1">
      <alignment vertical="center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right" vertical="center"/>
    </xf>
    <xf numFmtId="0" fontId="62" fillId="29" borderId="0" xfId="0" applyFont="1" applyFill="1" applyAlignment="1">
      <alignment vertical="center"/>
    </xf>
    <xf numFmtId="0" fontId="66" fillId="29" borderId="0" xfId="0" applyFont="1" applyFill="1" applyBorder="1" applyAlignment="1">
      <alignment horizontal="left" vertical="center"/>
    </xf>
    <xf numFmtId="0" fontId="62" fillId="29" borderId="13" xfId="0" applyFont="1" applyFill="1" applyBorder="1" applyAlignment="1">
      <alignment vertical="center"/>
    </xf>
    <xf numFmtId="0" fontId="62" fillId="29" borderId="13" xfId="0" applyFont="1" applyFill="1" applyBorder="1" applyAlignment="1">
      <alignment horizontal="center" vertical="center"/>
    </xf>
    <xf numFmtId="0" fontId="62" fillId="29" borderId="17" xfId="0" applyFont="1" applyFill="1" applyBorder="1" applyAlignment="1">
      <alignment horizontal="center" vertical="center" wrapText="1"/>
    </xf>
    <xf numFmtId="178" fontId="62" fillId="29" borderId="3" xfId="0" applyNumberFormat="1" applyFont="1" applyFill="1" applyBorder="1" applyAlignment="1">
      <alignment horizontal="center" vertical="center"/>
    </xf>
    <xf numFmtId="0" fontId="62" fillId="29" borderId="0" xfId="0" applyFont="1" applyFill="1" applyBorder="1" applyAlignment="1">
      <alignment horizontal="center" vertical="center" wrapText="1"/>
    </xf>
    <xf numFmtId="169" fontId="62" fillId="29" borderId="0" xfId="0" applyNumberFormat="1" applyFont="1" applyFill="1" applyBorder="1" applyAlignment="1">
      <alignment horizontal="center" vertical="center" wrapText="1"/>
    </xf>
    <xf numFmtId="0" fontId="66" fillId="29" borderId="0" xfId="0" applyFont="1" applyFill="1" applyBorder="1" applyAlignment="1">
      <alignment horizontal="right" vertical="center"/>
    </xf>
    <xf numFmtId="169" fontId="66" fillId="29" borderId="0" xfId="0" applyNumberFormat="1" applyFont="1" applyFill="1" applyBorder="1" applyAlignment="1">
      <alignment horizontal="right" vertical="center"/>
    </xf>
    <xf numFmtId="0" fontId="62" fillId="29" borderId="0" xfId="0" applyFont="1" applyFill="1" applyAlignment="1">
      <alignment horizontal="center" vertical="center"/>
    </xf>
    <xf numFmtId="0" fontId="62" fillId="29" borderId="0" xfId="0" applyFont="1" applyFill="1" applyAlignment="1"/>
    <xf numFmtId="0" fontId="62" fillId="29" borderId="0" xfId="0" applyFont="1" applyFill="1" applyBorder="1" applyAlignment="1">
      <alignment horizontal="center"/>
    </xf>
    <xf numFmtId="0" fontId="62" fillId="29" borderId="0" xfId="0" applyFont="1" applyFill="1" applyBorder="1" applyAlignment="1"/>
    <xf numFmtId="0" fontId="68" fillId="29" borderId="0" xfId="0" applyFont="1" applyFill="1" applyBorder="1" applyAlignment="1">
      <alignment horizontal="center" vertical="center"/>
    </xf>
    <xf numFmtId="0" fontId="68" fillId="29" borderId="19" xfId="0" applyFont="1" applyFill="1" applyBorder="1" applyAlignment="1">
      <alignment horizontal="center" vertical="center"/>
    </xf>
    <xf numFmtId="0" fontId="62" fillId="29" borderId="19" xfId="0" applyFont="1" applyFill="1" applyBorder="1" applyAlignment="1">
      <alignment horizontal="center" vertical="center"/>
    </xf>
    <xf numFmtId="0" fontId="62" fillId="29" borderId="0" xfId="0" applyFont="1" applyFill="1" applyAlignment="1">
      <alignment vertical="center" wrapText="1" shrinkToFit="1"/>
    </xf>
    <xf numFmtId="0" fontId="62" fillId="29" borderId="0" xfId="0" applyFont="1" applyFill="1" applyBorder="1" applyAlignment="1">
      <alignment vertical="center" wrapText="1" shrinkToFit="1"/>
    </xf>
    <xf numFmtId="0" fontId="74" fillId="29" borderId="0" xfId="0" applyFont="1" applyFill="1" applyAlignment="1">
      <alignment vertical="center"/>
    </xf>
    <xf numFmtId="178" fontId="65" fillId="29" borderId="0" xfId="0" applyNumberFormat="1" applyFont="1" applyFill="1" applyBorder="1" applyAlignment="1">
      <alignment horizontal="center" vertical="center"/>
    </xf>
    <xf numFmtId="170" fontId="65" fillId="29" borderId="0" xfId="0" applyNumberFormat="1" applyFont="1" applyFill="1" applyBorder="1" applyAlignment="1">
      <alignment horizontal="center" vertical="center" wrapText="1"/>
    </xf>
    <xf numFmtId="170" fontId="65" fillId="29" borderId="0" xfId="0" applyNumberFormat="1" applyFont="1" applyFill="1" applyBorder="1" applyAlignment="1">
      <alignment horizontal="left" vertical="center" wrapText="1"/>
    </xf>
    <xf numFmtId="0" fontId="63" fillId="29" borderId="3" xfId="0" quotePrefix="1" applyFont="1" applyFill="1" applyBorder="1" applyAlignment="1">
      <alignment horizontal="center" vertical="center"/>
    </xf>
    <xf numFmtId="0" fontId="65" fillId="29" borderId="3" xfId="0" quotePrefix="1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vertical="center"/>
    </xf>
    <xf numFmtId="0" fontId="70" fillId="29" borderId="0" xfId="0" applyFont="1" applyFill="1" applyBorder="1" applyAlignment="1">
      <alignment horizontal="center" wrapText="1"/>
    </xf>
    <xf numFmtId="0" fontId="69" fillId="0" borderId="0" xfId="0" applyFont="1" applyFill="1" applyBorder="1" applyAlignment="1">
      <alignment horizontal="center" wrapText="1"/>
    </xf>
    <xf numFmtId="179" fontId="63" fillId="29" borderId="3" xfId="0" applyNumberFormat="1" applyFont="1" applyFill="1" applyBorder="1" applyAlignment="1">
      <alignment horizontal="center" vertical="center" wrapText="1"/>
    </xf>
    <xf numFmtId="178" fontId="64" fillId="29" borderId="3" xfId="0" applyNumberFormat="1" applyFont="1" applyFill="1" applyBorder="1" applyAlignment="1">
      <alignment horizontal="center" vertical="center"/>
    </xf>
    <xf numFmtId="178" fontId="63" fillId="0" borderId="3" xfId="0" applyNumberFormat="1" applyFont="1" applyFill="1" applyBorder="1" applyAlignment="1">
      <alignment horizontal="center" vertical="center"/>
    </xf>
    <xf numFmtId="178" fontId="76" fillId="29" borderId="3" xfId="0" applyNumberFormat="1" applyFont="1" applyFill="1" applyBorder="1" applyAlignment="1">
      <alignment vertical="center"/>
    </xf>
    <xf numFmtId="0" fontId="76" fillId="29" borderId="3" xfId="0" applyFont="1" applyFill="1" applyBorder="1" applyAlignment="1">
      <alignment horizontal="left" vertical="center" wrapText="1"/>
    </xf>
    <xf numFmtId="0" fontId="76" fillId="29" borderId="3" xfId="0" quotePrefix="1" applyFont="1" applyFill="1" applyBorder="1" applyAlignment="1">
      <alignment horizontal="center" vertical="center"/>
    </xf>
    <xf numFmtId="0" fontId="76" fillId="29" borderId="3" xfId="0" applyFont="1" applyFill="1" applyBorder="1" applyAlignment="1">
      <alignment horizontal="center" vertical="center" wrapText="1"/>
    </xf>
    <xf numFmtId="179" fontId="78" fillId="29" borderId="0" xfId="0" applyNumberFormat="1" applyFont="1" applyFill="1" applyBorder="1" applyAlignment="1">
      <alignment vertical="center"/>
    </xf>
    <xf numFmtId="0" fontId="84" fillId="29" borderId="0" xfId="0" applyFont="1" applyFill="1" applyBorder="1" applyAlignment="1">
      <alignment vertical="center"/>
    </xf>
    <xf numFmtId="0" fontId="78" fillId="0" borderId="3" xfId="0" applyFont="1" applyFill="1" applyBorder="1" applyAlignment="1">
      <alignment horizontal="left" vertical="center"/>
    </xf>
    <xf numFmtId="0" fontId="78" fillId="0" borderId="3" xfId="0" applyFont="1" applyFill="1" applyBorder="1" applyAlignment="1">
      <alignment horizontal="center" vertical="center" wrapText="1"/>
    </xf>
    <xf numFmtId="179" fontId="63" fillId="29" borderId="0" xfId="0" applyNumberFormat="1" applyFont="1" applyFill="1" applyBorder="1" applyAlignment="1">
      <alignment vertical="center"/>
    </xf>
    <xf numFmtId="179" fontId="76" fillId="29" borderId="0" xfId="0" applyNumberFormat="1" applyFont="1" applyFill="1" applyBorder="1" applyAlignment="1">
      <alignment vertical="center"/>
    </xf>
    <xf numFmtId="178" fontId="65" fillId="0" borderId="3" xfId="0" applyNumberFormat="1" applyFont="1" applyFill="1" applyBorder="1" applyAlignment="1">
      <alignment horizontal="center" vertical="center" wrapText="1"/>
    </xf>
    <xf numFmtId="178" fontId="63" fillId="0" borderId="3" xfId="0" applyNumberFormat="1" applyFont="1" applyFill="1" applyBorder="1" applyAlignment="1">
      <alignment horizontal="center" vertical="center" wrapText="1"/>
    </xf>
    <xf numFmtId="178" fontId="64" fillId="0" borderId="3" xfId="0" applyNumberFormat="1" applyFont="1" applyFill="1" applyBorder="1" applyAlignment="1">
      <alignment horizontal="center" vertical="center" wrapText="1"/>
    </xf>
    <xf numFmtId="178" fontId="62" fillId="0" borderId="3" xfId="0" applyNumberFormat="1" applyFont="1" applyFill="1" applyBorder="1" applyAlignment="1">
      <alignment horizontal="center" vertical="center" wrapText="1"/>
    </xf>
    <xf numFmtId="0" fontId="62" fillId="0" borderId="3" xfId="0" applyFont="1" applyFill="1" applyBorder="1" applyAlignment="1">
      <alignment horizontal="center" vertical="center" wrapText="1"/>
    </xf>
    <xf numFmtId="0" fontId="85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vertical="center"/>
    </xf>
    <xf numFmtId="0" fontId="85" fillId="0" borderId="0" xfId="0" applyFont="1" applyFill="1" applyBorder="1" applyAlignment="1">
      <alignment vertical="center"/>
    </xf>
    <xf numFmtId="0" fontId="62" fillId="0" borderId="3" xfId="0" applyFont="1" applyFill="1" applyBorder="1" applyAlignment="1">
      <alignment horizontal="center" vertical="center" wrapText="1" shrinkToFit="1"/>
    </xf>
    <xf numFmtId="177" fontId="66" fillId="0" borderId="3" xfId="0" applyNumberFormat="1" applyFont="1" applyFill="1" applyBorder="1" applyAlignment="1">
      <alignment horizontal="center" vertical="center" wrapText="1"/>
    </xf>
    <xf numFmtId="177" fontId="62" fillId="0" borderId="3" xfId="0" applyNumberFormat="1" applyFont="1" applyFill="1" applyBorder="1" applyAlignment="1">
      <alignment horizontal="center" vertical="center" wrapText="1"/>
    </xf>
    <xf numFmtId="178" fontId="66" fillId="0" borderId="3" xfId="0" applyNumberFormat="1" applyFont="1" applyFill="1" applyBorder="1" applyAlignment="1">
      <alignment horizontal="center" vertical="center" wrapText="1"/>
    </xf>
    <xf numFmtId="177" fontId="62" fillId="0" borderId="23" xfId="0" applyNumberFormat="1" applyFont="1" applyFill="1" applyBorder="1" applyAlignment="1">
      <alignment horizontal="center" vertical="center" wrapText="1"/>
    </xf>
    <xf numFmtId="178" fontId="64" fillId="0" borderId="3" xfId="0" applyNumberFormat="1" applyFont="1" applyFill="1" applyBorder="1" applyAlignment="1">
      <alignment horizontal="center" vertical="center"/>
    </xf>
    <xf numFmtId="178" fontId="65" fillId="0" borderId="3" xfId="0" applyNumberFormat="1" applyFont="1" applyFill="1" applyBorder="1" applyAlignment="1">
      <alignment horizontal="center" vertical="center"/>
    </xf>
    <xf numFmtId="178" fontId="62" fillId="0" borderId="0" xfId="0" applyNumberFormat="1" applyFont="1" applyFill="1" applyBorder="1" applyAlignment="1">
      <alignment vertical="center"/>
    </xf>
    <xf numFmtId="0" fontId="62" fillId="0" borderId="3" xfId="0" applyFont="1" applyFill="1" applyBorder="1" applyAlignment="1">
      <alignment horizontal="center" vertical="center" wrapText="1"/>
    </xf>
    <xf numFmtId="178" fontId="76" fillId="0" borderId="3" xfId="0" applyNumberFormat="1" applyFont="1" applyFill="1" applyBorder="1" applyAlignment="1">
      <alignment horizontal="center" vertical="center" wrapText="1"/>
    </xf>
    <xf numFmtId="0" fontId="63" fillId="0" borderId="3" xfId="0" applyFont="1" applyFill="1" applyBorder="1" applyAlignment="1">
      <alignment horizontal="center" vertical="center" wrapText="1"/>
    </xf>
    <xf numFmtId="0" fontId="63" fillId="0" borderId="3" xfId="0" applyFont="1" applyFill="1" applyBorder="1" applyAlignment="1">
      <alignment vertical="center" wrapText="1"/>
    </xf>
    <xf numFmtId="0" fontId="65" fillId="0" borderId="3" xfId="0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horizontal="left" vertical="center"/>
    </xf>
    <xf numFmtId="0" fontId="65" fillId="0" borderId="3" xfId="0" applyFont="1" applyFill="1" applyBorder="1" applyAlignment="1">
      <alignment horizontal="center" vertical="center" wrapText="1"/>
    </xf>
    <xf numFmtId="49" fontId="64" fillId="0" borderId="3" xfId="0" applyNumberFormat="1" applyFont="1" applyFill="1" applyBorder="1" applyAlignment="1">
      <alignment horizontal="center" vertical="center"/>
    </xf>
    <xf numFmtId="0" fontId="64" fillId="0" borderId="3" xfId="0" applyFont="1" applyFill="1" applyBorder="1" applyAlignment="1">
      <alignment horizontal="left" vertical="center" wrapText="1"/>
    </xf>
    <xf numFmtId="0" fontId="64" fillId="0" borderId="3" xfId="0" applyFont="1" applyFill="1" applyBorder="1" applyAlignment="1">
      <alignment horizontal="center" vertical="center" wrapText="1"/>
    </xf>
    <xf numFmtId="49" fontId="77" fillId="0" borderId="3" xfId="0" applyNumberFormat="1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horizontal="left" vertical="center" wrapText="1"/>
    </xf>
    <xf numFmtId="0" fontId="77" fillId="0" borderId="3" xfId="0" applyFont="1" applyFill="1" applyBorder="1" applyAlignment="1">
      <alignment horizontal="center" vertical="center" wrapText="1"/>
    </xf>
    <xf numFmtId="49" fontId="78" fillId="0" borderId="3" xfId="0" applyNumberFormat="1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horizontal="left" vertical="center" wrapText="1"/>
    </xf>
    <xf numFmtId="0" fontId="78" fillId="0" borderId="3" xfId="0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vertical="center" wrapText="1"/>
    </xf>
    <xf numFmtId="0" fontId="64" fillId="0" borderId="3" xfId="0" applyFont="1" applyFill="1" applyBorder="1" applyAlignment="1">
      <alignment vertical="center" wrapText="1"/>
    </xf>
    <xf numFmtId="0" fontId="64" fillId="0" borderId="3" xfId="0" applyFont="1" applyFill="1" applyBorder="1" applyAlignment="1">
      <alignment horizontal="left" vertical="center"/>
    </xf>
    <xf numFmtId="0" fontId="77" fillId="0" borderId="3" xfId="0" applyFont="1" applyFill="1" applyBorder="1" applyAlignment="1">
      <alignment vertical="center"/>
    </xf>
    <xf numFmtId="49" fontId="81" fillId="0" borderId="3" xfId="0" applyNumberFormat="1" applyFont="1" applyFill="1" applyBorder="1" applyAlignment="1">
      <alignment horizontal="center" vertical="center"/>
    </xf>
    <xf numFmtId="0" fontId="81" fillId="0" borderId="3" xfId="0" applyFont="1" applyFill="1" applyBorder="1" applyAlignment="1">
      <alignment horizontal="left" vertical="center" wrapText="1"/>
    </xf>
    <xf numFmtId="0" fontId="81" fillId="0" borderId="3" xfId="0" applyFont="1" applyFill="1" applyBorder="1" applyAlignment="1">
      <alignment horizontal="center" vertical="center"/>
    </xf>
    <xf numFmtId="0" fontId="65" fillId="0" borderId="16" xfId="0" applyFont="1" applyFill="1" applyBorder="1" applyAlignment="1">
      <alignment horizontal="left" vertical="center"/>
    </xf>
    <xf numFmtId="0" fontId="77" fillId="0" borderId="15" xfId="0" applyFont="1" applyFill="1" applyBorder="1" applyAlignment="1">
      <alignment vertical="center" wrapText="1"/>
    </xf>
    <xf numFmtId="49" fontId="80" fillId="0" borderId="3" xfId="0" applyNumberFormat="1" applyFont="1" applyFill="1" applyBorder="1" applyAlignment="1">
      <alignment horizontal="center" vertical="center"/>
    </xf>
    <xf numFmtId="0" fontId="78" fillId="0" borderId="15" xfId="0" applyFont="1" applyFill="1" applyBorder="1" applyAlignment="1">
      <alignment vertical="center" wrapText="1"/>
    </xf>
    <xf numFmtId="0" fontId="80" fillId="0" borderId="3" xfId="0" applyFont="1" applyFill="1" applyBorder="1" applyAlignment="1">
      <alignment horizontal="center" vertical="center" wrapText="1"/>
    </xf>
    <xf numFmtId="0" fontId="81" fillId="0" borderId="3" xfId="0" applyFont="1" applyFill="1" applyBorder="1" applyAlignment="1">
      <alignment vertical="center"/>
    </xf>
    <xf numFmtId="0" fontId="78" fillId="0" borderId="3" xfId="0" applyFont="1" applyFill="1" applyBorder="1" applyAlignment="1">
      <alignment vertical="center" wrapText="1"/>
    </xf>
    <xf numFmtId="0" fontId="77" fillId="0" borderId="15" xfId="0" applyFont="1" applyFill="1" applyBorder="1" applyAlignment="1">
      <alignment vertical="center"/>
    </xf>
    <xf numFmtId="0" fontId="78" fillId="0" borderId="15" xfId="0" applyFont="1" applyFill="1" applyBorder="1" applyAlignment="1">
      <alignment horizontal="left" vertical="center" wrapText="1"/>
    </xf>
    <xf numFmtId="0" fontId="65" fillId="0" borderId="15" xfId="0" applyFont="1" applyFill="1" applyBorder="1" applyAlignment="1">
      <alignment vertical="center" wrapText="1"/>
    </xf>
    <xf numFmtId="0" fontId="78" fillId="0" borderId="3" xfId="0" applyFont="1" applyFill="1" applyBorder="1" applyAlignment="1">
      <alignment vertical="center"/>
    </xf>
    <xf numFmtId="0" fontId="78" fillId="0" borderId="15" xfId="0" applyFont="1" applyFill="1" applyBorder="1" applyAlignment="1">
      <alignment vertical="center"/>
    </xf>
    <xf numFmtId="0" fontId="77" fillId="0" borderId="3" xfId="0" applyFont="1" applyFill="1" applyBorder="1" applyAlignment="1">
      <alignment vertical="center" wrapText="1"/>
    </xf>
    <xf numFmtId="0" fontId="81" fillId="0" borderId="3" xfId="0" applyFont="1" applyFill="1" applyBorder="1" applyAlignment="1">
      <alignment horizontal="left" vertical="center"/>
    </xf>
    <xf numFmtId="0" fontId="81" fillId="0" borderId="3" xfId="0" applyFont="1" applyFill="1" applyBorder="1" applyAlignment="1">
      <alignment horizontal="center" vertical="center" wrapText="1"/>
    </xf>
    <xf numFmtId="0" fontId="63" fillId="0" borderId="3" xfId="0" applyFont="1" applyFill="1" applyBorder="1" applyAlignment="1">
      <alignment horizontal="left" vertical="center"/>
    </xf>
    <xf numFmtId="49" fontId="63" fillId="0" borderId="3" xfId="0" applyNumberFormat="1" applyFont="1" applyFill="1" applyBorder="1" applyAlignment="1">
      <alignment horizontal="center" vertical="center"/>
    </xf>
    <xf numFmtId="0" fontId="78" fillId="0" borderId="13" xfId="0" applyFont="1" applyFill="1" applyBorder="1" applyAlignment="1">
      <alignment horizontal="left" vertical="center" wrapText="1"/>
    </xf>
    <xf numFmtId="49" fontId="76" fillId="0" borderId="3" xfId="0" applyNumberFormat="1" applyFont="1" applyFill="1" applyBorder="1" applyAlignment="1">
      <alignment horizontal="center" vertical="center"/>
    </xf>
    <xf numFmtId="0" fontId="63" fillId="0" borderId="3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left" vertical="center" wrapText="1"/>
    </xf>
    <xf numFmtId="49" fontId="65" fillId="0" borderId="3" xfId="0" applyNumberFormat="1" applyFont="1" applyFill="1" applyBorder="1" applyAlignment="1">
      <alignment horizontal="center" vertical="center"/>
    </xf>
    <xf numFmtId="0" fontId="78" fillId="0" borderId="3" xfId="0" quotePrefix="1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left" vertical="center" wrapText="1"/>
    </xf>
    <xf numFmtId="0" fontId="64" fillId="0" borderId="3" xfId="0" applyFont="1" applyFill="1" applyBorder="1" applyAlignment="1">
      <alignment horizontal="center" vertical="center"/>
    </xf>
    <xf numFmtId="0" fontId="63" fillId="0" borderId="32" xfId="0" applyFont="1" applyFill="1" applyBorder="1" applyAlignment="1">
      <alignment horizontal="left" vertical="center"/>
    </xf>
    <xf numFmtId="0" fontId="77" fillId="0" borderId="3" xfId="0" quotePrefix="1" applyFont="1" applyFill="1" applyBorder="1" applyAlignment="1">
      <alignment horizontal="center" vertical="center"/>
    </xf>
    <xf numFmtId="0" fontId="65" fillId="0" borderId="32" xfId="0" applyFont="1" applyFill="1" applyBorder="1" applyAlignment="1">
      <alignment horizontal="left" vertical="center"/>
    </xf>
    <xf numFmtId="0" fontId="77" fillId="0" borderId="32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vertical="center"/>
    </xf>
    <xf numFmtId="0" fontId="77" fillId="0" borderId="16" xfId="0" applyFont="1" applyFill="1" applyBorder="1" applyAlignment="1">
      <alignment horizontal="left" vertical="center" wrapText="1"/>
    </xf>
    <xf numFmtId="49" fontId="79" fillId="0" borderId="3" xfId="0" applyNumberFormat="1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/>
    </xf>
    <xf numFmtId="0" fontId="81" fillId="0" borderId="14" xfId="0" applyFont="1" applyFill="1" applyBorder="1" applyAlignment="1">
      <alignment horizontal="left" vertical="center"/>
    </xf>
    <xf numFmtId="0" fontId="78" fillId="0" borderId="16" xfId="0" applyFont="1" applyFill="1" applyBorder="1" applyAlignment="1">
      <alignment horizontal="left" vertical="center"/>
    </xf>
    <xf numFmtId="0" fontId="81" fillId="0" borderId="3" xfId="0" applyFont="1" applyFill="1" applyBorder="1" applyAlignment="1">
      <alignment vertical="center" wrapText="1"/>
    </xf>
    <xf numFmtId="49" fontId="82" fillId="0" borderId="3" xfId="0" applyNumberFormat="1" applyFont="1" applyFill="1" applyBorder="1" applyAlignment="1">
      <alignment horizontal="center" vertical="center"/>
    </xf>
    <xf numFmtId="0" fontId="82" fillId="0" borderId="3" xfId="0" applyFont="1" applyFill="1" applyBorder="1" applyAlignment="1">
      <alignment horizontal="center" vertical="center" wrapText="1"/>
    </xf>
    <xf numFmtId="49" fontId="66" fillId="0" borderId="3" xfId="0" applyNumberFormat="1" applyFont="1" applyFill="1" applyBorder="1" applyAlignment="1">
      <alignment horizontal="center" vertical="center"/>
    </xf>
    <xf numFmtId="0" fontId="66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left" vertical="center"/>
    </xf>
    <xf numFmtId="178" fontId="76" fillId="0" borderId="3" xfId="0" applyNumberFormat="1" applyFont="1" applyFill="1" applyBorder="1" applyAlignment="1">
      <alignment horizontal="center" vertical="center"/>
    </xf>
    <xf numFmtId="0" fontId="80" fillId="0" borderId="3" xfId="0" applyFont="1" applyFill="1" applyBorder="1" applyAlignment="1">
      <alignment horizontal="center" vertical="center"/>
    </xf>
    <xf numFmtId="0" fontId="82" fillId="0" borderId="3" xfId="0" applyFont="1" applyFill="1" applyBorder="1" applyAlignment="1">
      <alignment horizontal="center" vertical="center"/>
    </xf>
    <xf numFmtId="0" fontId="63" fillId="0" borderId="18" xfId="0" applyFont="1" applyFill="1" applyBorder="1" applyAlignment="1">
      <alignment horizontal="left" vertical="center"/>
    </xf>
    <xf numFmtId="0" fontId="78" fillId="0" borderId="33" xfId="0" applyFont="1" applyFill="1" applyBorder="1" applyAlignment="1">
      <alignment vertical="center" wrapText="1"/>
    </xf>
    <xf numFmtId="0" fontId="65" fillId="0" borderId="18" xfId="0" applyFont="1" applyFill="1" applyBorder="1" applyAlignment="1">
      <alignment vertical="center" wrapText="1"/>
    </xf>
    <xf numFmtId="0" fontId="68" fillId="0" borderId="3" xfId="0" applyFont="1" applyFill="1" applyBorder="1" applyAlignment="1">
      <alignment horizontal="left" vertical="center"/>
    </xf>
    <xf numFmtId="0" fontId="65" fillId="0" borderId="0" xfId="0" applyFont="1" applyFill="1" applyBorder="1" applyAlignment="1">
      <alignment vertical="center"/>
    </xf>
    <xf numFmtId="49" fontId="66" fillId="0" borderId="16" xfId="0" applyNumberFormat="1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/>
    </xf>
    <xf numFmtId="49" fontId="64" fillId="0" borderId="16" xfId="0" applyNumberFormat="1" applyFont="1" applyFill="1" applyBorder="1" applyAlignment="1">
      <alignment horizontal="center" vertical="center"/>
    </xf>
    <xf numFmtId="0" fontId="64" fillId="0" borderId="17" xfId="0" applyFont="1" applyFill="1" applyBorder="1" applyAlignment="1">
      <alignment horizontal="left" vertical="center" wrapText="1"/>
    </xf>
    <xf numFmtId="0" fontId="66" fillId="0" borderId="20" xfId="182" applyFont="1" applyFill="1" applyBorder="1" applyAlignment="1">
      <alignment vertical="center" wrapText="1"/>
      <protection locked="0"/>
    </xf>
    <xf numFmtId="0" fontId="66" fillId="0" borderId="3" xfId="0" applyFont="1" applyFill="1" applyBorder="1" applyAlignment="1">
      <alignment horizontal="center" vertical="center"/>
    </xf>
    <xf numFmtId="178" fontId="66" fillId="0" borderId="12" xfId="0" applyNumberFormat="1" applyFont="1" applyFill="1" applyBorder="1" applyAlignment="1">
      <alignment horizontal="center" vertical="center" wrapText="1"/>
    </xf>
    <xf numFmtId="0" fontId="62" fillId="0" borderId="20" xfId="0" applyFont="1" applyFill="1" applyBorder="1" applyAlignment="1">
      <alignment horizontal="left" vertical="center" wrapText="1"/>
    </xf>
    <xf numFmtId="0" fontId="62" fillId="0" borderId="3" xfId="0" applyFont="1" applyFill="1" applyBorder="1" applyAlignment="1">
      <alignment horizontal="center" vertical="center"/>
    </xf>
    <xf numFmtId="178" fontId="62" fillId="0" borderId="12" xfId="0" applyNumberFormat="1" applyFont="1" applyFill="1" applyBorder="1" applyAlignment="1">
      <alignment horizontal="center" vertical="center" wrapText="1"/>
    </xf>
    <xf numFmtId="0" fontId="62" fillId="0" borderId="20" xfId="182" applyFont="1" applyFill="1" applyBorder="1" applyAlignment="1">
      <alignment vertical="center" wrapText="1"/>
      <protection locked="0"/>
    </xf>
    <xf numFmtId="0" fontId="66" fillId="0" borderId="22" xfId="182" applyFont="1" applyFill="1" applyBorder="1" applyAlignment="1">
      <alignment vertical="center" wrapText="1"/>
      <protection locked="0"/>
    </xf>
    <xf numFmtId="0" fontId="66" fillId="0" borderId="23" xfId="0" applyFont="1" applyFill="1" applyBorder="1" applyAlignment="1">
      <alignment horizontal="center" vertical="center"/>
    </xf>
    <xf numFmtId="178" fontId="66" fillId="0" borderId="23" xfId="0" applyNumberFormat="1" applyFont="1" applyFill="1" applyBorder="1" applyAlignment="1">
      <alignment horizontal="center" vertical="center" wrapText="1"/>
    </xf>
    <xf numFmtId="178" fontId="66" fillId="0" borderId="26" xfId="0" applyNumberFormat="1" applyFont="1" applyFill="1" applyBorder="1" applyAlignment="1">
      <alignment horizontal="center" vertical="center" wrapText="1"/>
    </xf>
    <xf numFmtId="0" fontId="66" fillId="0" borderId="22" xfId="0" applyFont="1" applyFill="1" applyBorder="1" applyAlignment="1">
      <alignment horizontal="left" vertical="center" wrapText="1"/>
    </xf>
    <xf numFmtId="0" fontId="66" fillId="0" borderId="23" xfId="0" applyFont="1" applyFill="1" applyBorder="1" applyAlignment="1">
      <alignment horizontal="center" vertical="center" wrapText="1"/>
    </xf>
    <xf numFmtId="0" fontId="66" fillId="0" borderId="20" xfId="245" applyFont="1" applyFill="1" applyBorder="1" applyAlignment="1">
      <alignment horizontal="left" vertical="center" wrapText="1"/>
    </xf>
    <xf numFmtId="0" fontId="62" fillId="0" borderId="20" xfId="245" applyFont="1" applyFill="1" applyBorder="1" applyAlignment="1">
      <alignment horizontal="left" vertical="center" wrapText="1"/>
    </xf>
    <xf numFmtId="0" fontId="66" fillId="0" borderId="20" xfId="0" applyFont="1" applyFill="1" applyBorder="1" applyAlignment="1" applyProtection="1">
      <alignment horizontal="left" vertical="center" wrapText="1"/>
      <protection locked="0"/>
    </xf>
    <xf numFmtId="0" fontId="66" fillId="0" borderId="22" xfId="0" applyFont="1" applyFill="1" applyBorder="1" applyAlignment="1" applyProtection="1">
      <alignment horizontal="left" vertical="center" wrapText="1"/>
      <protection locked="0"/>
    </xf>
    <xf numFmtId="0" fontId="62" fillId="0" borderId="21" xfId="0" applyFont="1" applyFill="1" applyBorder="1" applyAlignment="1">
      <alignment horizontal="left" vertical="center" wrapText="1"/>
    </xf>
    <xf numFmtId="0" fontId="71" fillId="29" borderId="0" xfId="0" applyFont="1" applyFill="1" applyBorder="1" applyAlignment="1">
      <alignment vertical="center"/>
    </xf>
    <xf numFmtId="0" fontId="86" fillId="22" borderId="0" xfId="0" applyFont="1" applyFill="1" applyBorder="1" applyAlignment="1">
      <alignment vertical="center"/>
    </xf>
    <xf numFmtId="0" fontId="65" fillId="29" borderId="0" xfId="0" applyFont="1" applyFill="1" applyBorder="1" applyAlignment="1">
      <alignment horizontal="left" vertical="center"/>
    </xf>
    <xf numFmtId="0" fontId="65" fillId="29" borderId="0" xfId="0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center" vertical="center"/>
    </xf>
    <xf numFmtId="170" fontId="65" fillId="29" borderId="0" xfId="0" applyNumberFormat="1" applyFont="1" applyFill="1" applyBorder="1" applyAlignment="1">
      <alignment vertical="center" wrapText="1"/>
    </xf>
    <xf numFmtId="0" fontId="65" fillId="29" borderId="0" xfId="0" quotePrefix="1" applyFont="1" applyFill="1" applyBorder="1" applyAlignment="1">
      <alignment vertical="center"/>
    </xf>
    <xf numFmtId="0" fontId="66" fillId="0" borderId="27" xfId="0" applyFont="1" applyFill="1" applyBorder="1" applyAlignment="1">
      <alignment horizontal="center" vertical="center" wrapText="1"/>
    </xf>
    <xf numFmtId="0" fontId="66" fillId="0" borderId="28" xfId="0" applyFont="1" applyFill="1" applyBorder="1" applyAlignment="1">
      <alignment horizontal="center" vertical="center" wrapText="1"/>
    </xf>
    <xf numFmtId="0" fontId="66" fillId="0" borderId="29" xfId="0" applyFont="1" applyFill="1" applyBorder="1" applyAlignment="1">
      <alignment horizontal="center" vertical="center" wrapText="1"/>
    </xf>
    <xf numFmtId="0" fontId="62" fillId="0" borderId="3" xfId="0" applyFont="1" applyFill="1" applyBorder="1" applyAlignment="1">
      <alignment horizontal="center" vertical="center" wrapText="1"/>
    </xf>
    <xf numFmtId="0" fontId="62" fillId="0" borderId="15" xfId="0" applyFont="1" applyFill="1" applyBorder="1" applyAlignment="1">
      <alignment horizontal="center" vertical="center"/>
    </xf>
    <xf numFmtId="0" fontId="62" fillId="0" borderId="14" xfId="0" applyFont="1" applyFill="1" applyBorder="1" applyAlignment="1">
      <alignment horizontal="center" vertical="center"/>
    </xf>
    <xf numFmtId="0" fontId="62" fillId="0" borderId="16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67" fillId="29" borderId="0" xfId="0" applyFont="1" applyFill="1" applyBorder="1" applyAlignment="1">
      <alignment horizontal="center" vertical="center" wrapText="1"/>
    </xf>
    <xf numFmtId="0" fontId="67" fillId="29" borderId="0" xfId="0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67" fillId="0" borderId="24" xfId="0" applyFont="1" applyFill="1" applyBorder="1" applyAlignment="1">
      <alignment horizontal="center" vertical="center"/>
    </xf>
    <xf numFmtId="0" fontId="67" fillId="0" borderId="25" xfId="0" applyFont="1" applyFill="1" applyBorder="1" applyAlignment="1">
      <alignment horizontal="center" vertical="center"/>
    </xf>
    <xf numFmtId="0" fontId="67" fillId="0" borderId="27" xfId="0" applyFont="1" applyFill="1" applyBorder="1" applyAlignment="1" applyProtection="1">
      <alignment horizontal="center" vertical="center"/>
      <protection locked="0"/>
    </xf>
    <xf numFmtId="0" fontId="67" fillId="0" borderId="28" xfId="0" applyFont="1" applyFill="1" applyBorder="1" applyAlignment="1" applyProtection="1">
      <alignment horizontal="center" vertical="center"/>
      <protection locked="0"/>
    </xf>
    <xf numFmtId="0" fontId="67" fillId="0" borderId="29" xfId="0" applyFont="1" applyFill="1" applyBorder="1" applyAlignment="1" applyProtection="1">
      <alignment horizontal="center" vertical="center"/>
      <protection locked="0"/>
    </xf>
    <xf numFmtId="0" fontId="62" fillId="0" borderId="17" xfId="0" applyFont="1" applyFill="1" applyBorder="1" applyAlignment="1">
      <alignment horizontal="center" vertical="center"/>
    </xf>
    <xf numFmtId="0" fontId="62" fillId="0" borderId="18" xfId="0" applyFont="1" applyFill="1" applyBorder="1" applyAlignment="1">
      <alignment horizontal="center" vertical="center"/>
    </xf>
    <xf numFmtId="0" fontId="62" fillId="0" borderId="17" xfId="0" applyFont="1" applyFill="1" applyBorder="1" applyAlignment="1">
      <alignment horizontal="center" vertical="center" wrapText="1"/>
    </xf>
    <xf numFmtId="0" fontId="62" fillId="0" borderId="18" xfId="0" applyFont="1" applyFill="1" applyBorder="1" applyAlignment="1">
      <alignment horizontal="center" vertical="center" wrapText="1"/>
    </xf>
    <xf numFmtId="0" fontId="67" fillId="29" borderId="30" xfId="0" applyFont="1" applyFill="1" applyBorder="1" applyAlignment="1">
      <alignment horizontal="center" vertical="center" wrapText="1"/>
    </xf>
    <xf numFmtId="0" fontId="67" fillId="29" borderId="24" xfId="0" applyFont="1" applyFill="1" applyBorder="1" applyAlignment="1">
      <alignment horizontal="center" vertical="center" wrapText="1"/>
    </xf>
    <xf numFmtId="0" fontId="67" fillId="29" borderId="25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vertical="center"/>
    </xf>
    <xf numFmtId="170" fontId="62" fillId="0" borderId="13" xfId="0" applyNumberFormat="1" applyFont="1" applyFill="1" applyBorder="1" applyAlignment="1">
      <alignment horizontal="center" vertical="center" wrapText="1"/>
    </xf>
    <xf numFmtId="170" fontId="62" fillId="0" borderId="13" xfId="0" quotePrefix="1" applyNumberFormat="1" applyFont="1" applyFill="1" applyBorder="1" applyAlignment="1">
      <alignment horizontal="center" vertical="center" wrapText="1"/>
    </xf>
    <xf numFmtId="0" fontId="67" fillId="29" borderId="27" xfId="0" applyFont="1" applyFill="1" applyBorder="1" applyAlignment="1">
      <alignment horizontal="center" vertical="center"/>
    </xf>
    <xf numFmtId="0" fontId="67" fillId="29" borderId="28" xfId="0" applyFont="1" applyFill="1" applyBorder="1" applyAlignment="1">
      <alignment horizontal="center" vertical="center"/>
    </xf>
    <xf numFmtId="0" fontId="67" fillId="29" borderId="29" xfId="0" applyFont="1" applyFill="1" applyBorder="1" applyAlignment="1">
      <alignment horizontal="center" vertical="center"/>
    </xf>
    <xf numFmtId="0" fontId="66" fillId="29" borderId="13" xfId="0" applyFont="1" applyFill="1" applyBorder="1" applyAlignment="1">
      <alignment horizontal="center"/>
    </xf>
    <xf numFmtId="0" fontId="62" fillId="0" borderId="19" xfId="0" applyFont="1" applyFill="1" applyBorder="1" applyAlignment="1">
      <alignment horizontal="center" vertical="center"/>
    </xf>
    <xf numFmtId="0" fontId="66" fillId="29" borderId="0" xfId="0" applyFont="1" applyFill="1" applyBorder="1" applyAlignment="1">
      <alignment horizontal="center" vertical="center" wrapText="1"/>
    </xf>
    <xf numFmtId="170" fontId="65" fillId="29" borderId="13" xfId="0" applyNumberFormat="1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left" vertical="center"/>
    </xf>
    <xf numFmtId="0" fontId="63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left" vertical="center" wrapText="1"/>
    </xf>
    <xf numFmtId="0" fontId="63" fillId="29" borderId="3" xfId="0" applyFont="1" applyFill="1" applyBorder="1" applyAlignment="1">
      <alignment horizontal="left" vertical="center"/>
    </xf>
    <xf numFmtId="0" fontId="63" fillId="29" borderId="13" xfId="0" applyFont="1" applyFill="1" applyBorder="1" applyAlignment="1">
      <alignment horizontal="center"/>
    </xf>
    <xf numFmtId="0" fontId="65" fillId="29" borderId="19" xfId="0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center" vertical="center" wrapText="1"/>
    </xf>
    <xf numFmtId="0" fontId="63" fillId="29" borderId="15" xfId="0" applyFont="1" applyFill="1" applyBorder="1" applyAlignment="1">
      <alignment horizontal="center" vertical="center"/>
    </xf>
    <xf numFmtId="0" fontId="63" fillId="29" borderId="16" xfId="0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center" vertical="center"/>
    </xf>
    <xf numFmtId="0" fontId="65" fillId="29" borderId="13" xfId="0" applyFont="1" applyFill="1" applyBorder="1" applyAlignment="1">
      <alignment horizontal="left" vertical="center"/>
    </xf>
    <xf numFmtId="0" fontId="65" fillId="29" borderId="13" xfId="0" quotePrefix="1" applyFont="1" applyFill="1" applyBorder="1" applyAlignment="1">
      <alignment horizontal="center" vertical="center"/>
    </xf>
    <xf numFmtId="0" fontId="65" fillId="29" borderId="19" xfId="0" applyFont="1" applyFill="1" applyBorder="1" applyAlignment="1">
      <alignment horizontal="left" vertical="center"/>
    </xf>
    <xf numFmtId="0" fontId="65" fillId="29" borderId="15" xfId="0" applyFont="1" applyFill="1" applyBorder="1" applyAlignment="1">
      <alignment horizontal="left" vertical="center" wrapText="1"/>
    </xf>
    <xf numFmtId="0" fontId="65" fillId="29" borderId="14" xfId="0" applyFont="1" applyFill="1" applyBorder="1" applyAlignment="1">
      <alignment horizontal="left" vertical="center" wrapText="1"/>
    </xf>
    <xf numFmtId="0" fontId="65" fillId="29" borderId="16" xfId="0" applyFont="1" applyFill="1" applyBorder="1" applyAlignment="1">
      <alignment horizontal="left" vertical="center" wrapText="1"/>
    </xf>
    <xf numFmtId="0" fontId="74" fillId="29" borderId="0" xfId="0" applyFont="1" applyFill="1" applyAlignment="1">
      <alignment vertical="center" wrapText="1"/>
    </xf>
    <xf numFmtId="0" fontId="75" fillId="29" borderId="0" xfId="0" applyFont="1" applyFill="1" applyAlignment="1">
      <alignment vertical="center" wrapText="1"/>
    </xf>
    <xf numFmtId="0" fontId="69" fillId="29" borderId="0" xfId="0" applyFont="1" applyFill="1" applyBorder="1" applyAlignment="1">
      <alignment horizontal="center" wrapText="1"/>
    </xf>
    <xf numFmtId="0" fontId="73" fillId="29" borderId="0" xfId="0" applyFont="1" applyFill="1" applyAlignment="1">
      <alignment horizontal="center"/>
    </xf>
    <xf numFmtId="0" fontId="62" fillId="29" borderId="0" xfId="0" applyFont="1" applyFill="1" applyBorder="1" applyAlignment="1">
      <alignment horizontal="center"/>
    </xf>
    <xf numFmtId="0" fontId="62" fillId="29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6" fillId="29" borderId="15" xfId="0" applyFont="1" applyFill="1" applyBorder="1" applyAlignment="1">
      <alignment horizontal="center" vertical="center" wrapText="1"/>
    </xf>
    <xf numFmtId="0" fontId="66" fillId="29" borderId="14" xfId="0" applyFont="1" applyFill="1" applyBorder="1" applyAlignment="1">
      <alignment horizontal="center" vertical="center" wrapText="1"/>
    </xf>
    <xf numFmtId="0" fontId="65" fillId="29" borderId="15" xfId="353" applyFont="1" applyFill="1" applyBorder="1" applyAlignment="1">
      <alignment horizontal="left" vertical="center" wrapText="1"/>
    </xf>
    <xf numFmtId="0" fontId="65" fillId="29" borderId="14" xfId="353" applyFont="1" applyFill="1" applyBorder="1" applyAlignment="1">
      <alignment horizontal="left" vertical="center" wrapText="1"/>
    </xf>
    <xf numFmtId="0" fontId="65" fillId="29" borderId="16" xfId="353" applyFont="1" applyFill="1" applyBorder="1" applyAlignment="1">
      <alignment horizontal="left" vertical="center" wrapText="1"/>
    </xf>
    <xf numFmtId="3" fontId="66" fillId="29" borderId="15" xfId="0" applyNumberFormat="1" applyFont="1" applyFill="1" applyBorder="1" applyAlignment="1">
      <alignment horizontal="left" vertical="center" wrapText="1"/>
    </xf>
    <xf numFmtId="3" fontId="66" fillId="29" borderId="14" xfId="0" applyNumberFormat="1" applyFont="1" applyFill="1" applyBorder="1" applyAlignment="1">
      <alignment horizontal="left" vertical="center" wrapTex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Звичайний 2" xfId="353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externalLink" Target="externalLinks/externalLink3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olkovati\Desktop\&#1060;&#1110;&#1085;&#1072;&#1085;&#1089;&#1086;&#1074;&#1110;%20&#1087;&#1083;&#1072;&#1085;&#1080;\&#1060;&#1030;&#1053;%20&#1055;&#1051;&#1040;&#1053;&#1048;\&#1062;&#1077;&#1085;&#1090;&#1088;%20&#1084;&#1072;&#1090;&#1077;&#1088;&#1110;%20&#1090;&#1072;%20&#1076;&#1080;&#1090;&#1080;&#1085;&#1080;\&#1060;&#1030;&#1053;&#1055;&#1051;&#1040;&#1053;%20%20&#1087;&#1088;&#1072;&#1074;&#1080;&#1083;&#1100;&#1085;&#1080;&#1081;%20&#1086;&#1089;&#1090;&#1072;&#1090;&#1086;&#1095;&#1085;&#1080;&#108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інансовий план КНП"/>
      <sheetName val="Розшифровка 1 до Формування"/>
      <sheetName val="Розшифровка 2 до формування"/>
      <sheetName val="Розшифровка до Руху"/>
      <sheetName val="Розшифровка за джерелами"/>
      <sheetName val="Розшифровка кап"/>
    </sheetNames>
    <sheetDataSet>
      <sheetData sheetId="0" refreshError="1"/>
      <sheetData sheetId="1" refreshError="1"/>
      <sheetData sheetId="2">
        <row r="413">
          <cell r="H413">
            <v>0</v>
          </cell>
          <cell r="I413">
            <v>0</v>
          </cell>
        </row>
        <row r="433">
          <cell r="H433">
            <v>0</v>
          </cell>
          <cell r="I433">
            <v>0</v>
          </cell>
        </row>
        <row r="436">
          <cell r="H436">
            <v>0</v>
          </cell>
          <cell r="I436">
            <v>0</v>
          </cell>
        </row>
        <row r="437">
          <cell r="H437">
            <v>0</v>
          </cell>
          <cell r="I437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N251"/>
  <sheetViews>
    <sheetView tabSelected="1" view="pageBreakPreview" zoomScale="70" zoomScaleNormal="75" zoomScaleSheetLayoutView="70" workbookViewId="0">
      <selection activeCell="C12" sqref="C12"/>
    </sheetView>
  </sheetViews>
  <sheetFormatPr defaultRowHeight="20.25"/>
  <cols>
    <col min="1" max="1" width="65.42578125" style="2" customWidth="1"/>
    <col min="2" max="2" width="17.28515625" style="17" customWidth="1"/>
    <col min="3" max="4" width="18" style="17" customWidth="1"/>
    <col min="5" max="5" width="18.7109375" style="2" customWidth="1"/>
    <col min="6" max="6" width="19" style="2" customWidth="1"/>
    <col min="7" max="7" width="18.7109375" style="2" customWidth="1"/>
    <col min="8" max="8" width="17" style="2" customWidth="1"/>
    <col min="9" max="9" width="36.140625" style="2" customWidth="1"/>
    <col min="10" max="10" width="20.42578125" style="2" customWidth="1"/>
    <col min="11" max="11" width="15.7109375" style="2" customWidth="1"/>
    <col min="12" max="12" width="14.85546875" style="2" customWidth="1"/>
    <col min="13" max="13" width="18.5703125" style="2" customWidth="1"/>
    <col min="14" max="16384" width="9.140625" style="2"/>
  </cols>
  <sheetData>
    <row r="1" spans="1:14" ht="103.5" customHeight="1">
      <c r="A1" s="265" t="s">
        <v>438</v>
      </c>
      <c r="B1" s="266"/>
      <c r="C1" s="266"/>
      <c r="D1" s="266"/>
      <c r="E1" s="266"/>
      <c r="F1" s="266"/>
      <c r="G1" s="266"/>
      <c r="H1" s="266"/>
    </row>
    <row r="2" spans="1:14" ht="30" customHeight="1">
      <c r="A2" s="264" t="s">
        <v>19</v>
      </c>
      <c r="B2" s="264"/>
      <c r="C2" s="264"/>
      <c r="D2" s="264"/>
      <c r="E2" s="264"/>
      <c r="F2" s="264"/>
      <c r="G2" s="264"/>
      <c r="H2" s="264"/>
    </row>
    <row r="3" spans="1:14" ht="23.25" customHeight="1">
      <c r="B3" s="3"/>
      <c r="C3" s="4"/>
      <c r="D3" s="3"/>
      <c r="E3" s="3"/>
      <c r="F3" s="3"/>
      <c r="G3" s="3"/>
      <c r="H3" s="5" t="s">
        <v>57</v>
      </c>
    </row>
    <row r="4" spans="1:14" ht="48.75" customHeight="1">
      <c r="A4" s="273" t="s">
        <v>24</v>
      </c>
      <c r="B4" s="275" t="s">
        <v>5</v>
      </c>
      <c r="C4" s="260" t="s">
        <v>127</v>
      </c>
      <c r="D4" s="260"/>
      <c r="E4" s="261" t="s">
        <v>141</v>
      </c>
      <c r="F4" s="262"/>
      <c r="G4" s="262"/>
      <c r="H4" s="263"/>
    </row>
    <row r="5" spans="1:14" ht="47.25" customHeight="1">
      <c r="A5" s="274"/>
      <c r="B5" s="276"/>
      <c r="C5" s="6" t="s">
        <v>139</v>
      </c>
      <c r="D5" s="6" t="s">
        <v>140</v>
      </c>
      <c r="E5" s="7" t="s">
        <v>113</v>
      </c>
      <c r="F5" s="7" t="s">
        <v>114</v>
      </c>
      <c r="G5" s="7" t="s">
        <v>115</v>
      </c>
      <c r="H5" s="7" t="s">
        <v>116</v>
      </c>
    </row>
    <row r="6" spans="1:14" ht="29.25" customHeight="1" thickBot="1">
      <c r="A6" s="32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45">
        <v>8</v>
      </c>
    </row>
    <row r="7" spans="1:14" ht="33" customHeight="1">
      <c r="A7" s="277" t="s">
        <v>95</v>
      </c>
      <c r="B7" s="278"/>
      <c r="C7" s="278"/>
      <c r="D7" s="278"/>
      <c r="E7" s="278"/>
      <c r="F7" s="278"/>
      <c r="G7" s="278"/>
      <c r="H7" s="279"/>
    </row>
    <row r="8" spans="1:14" ht="48.75" customHeight="1">
      <c r="A8" s="12" t="s">
        <v>128</v>
      </c>
      <c r="B8" s="8">
        <v>1000</v>
      </c>
      <c r="C8" s="1">
        <v>7940.1</v>
      </c>
      <c r="D8" s="1">
        <v>33642.400000000001</v>
      </c>
      <c r="E8" s="1">
        <v>35702.800000000003</v>
      </c>
      <c r="F8" s="1">
        <v>33642.400000000001</v>
      </c>
      <c r="G8" s="1">
        <f>F8-E8</f>
        <v>-2060.4000000000015</v>
      </c>
      <c r="H8" s="43">
        <f>(F8/E8)*100</f>
        <v>94.229024054135806</v>
      </c>
      <c r="J8" s="145"/>
      <c r="K8" s="145"/>
      <c r="L8" s="145"/>
      <c r="M8" s="145"/>
    </row>
    <row r="9" spans="1:14" ht="47.25" customHeight="1">
      <c r="A9" s="232" t="s">
        <v>67</v>
      </c>
      <c r="B9" s="233">
        <v>1010</v>
      </c>
      <c r="C9" s="150">
        <f>SUM(C10:C14)</f>
        <v>-30044.000000000004</v>
      </c>
      <c r="D9" s="150">
        <f t="shared" ref="D9:F9" si="0">SUM(D10:D14)</f>
        <v>-45999</v>
      </c>
      <c r="E9" s="150">
        <f t="shared" si="0"/>
        <v>-41358.600000000006</v>
      </c>
      <c r="F9" s="150">
        <f t="shared" si="0"/>
        <v>-45999</v>
      </c>
      <c r="G9" s="150">
        <f t="shared" ref="G9:G43" si="1">F9-E9</f>
        <v>-4640.3999999999942</v>
      </c>
      <c r="H9" s="234">
        <f t="shared" ref="H9:H43" si="2">(F9/E9)*100</f>
        <v>111.21991556774165</v>
      </c>
      <c r="I9" s="154"/>
    </row>
    <row r="10" spans="1:14" ht="30" customHeight="1">
      <c r="A10" s="235" t="s">
        <v>68</v>
      </c>
      <c r="B10" s="236">
        <v>1011</v>
      </c>
      <c r="C10" s="142">
        <v>-4296</v>
      </c>
      <c r="D10" s="142">
        <v>-8638.7999999999993</v>
      </c>
      <c r="E10" s="142">
        <v>-4698.3999999999996</v>
      </c>
      <c r="F10" s="142">
        <v>-8638.7999999999993</v>
      </c>
      <c r="G10" s="142">
        <f t="shared" si="1"/>
        <v>-3940.3999999999996</v>
      </c>
      <c r="H10" s="237">
        <f t="shared" si="2"/>
        <v>183.86684828877915</v>
      </c>
    </row>
    <row r="11" spans="1:14" ht="28.5" customHeight="1">
      <c r="A11" s="235" t="s">
        <v>2</v>
      </c>
      <c r="B11" s="236">
        <v>1012</v>
      </c>
      <c r="C11" s="142">
        <v>-18214.900000000001</v>
      </c>
      <c r="D11" s="142">
        <v>-27262.2</v>
      </c>
      <c r="E11" s="142">
        <v>-27423</v>
      </c>
      <c r="F11" s="142">
        <v>-27262.2</v>
      </c>
      <c r="G11" s="142">
        <f t="shared" si="1"/>
        <v>160.79999999999927</v>
      </c>
      <c r="H11" s="237">
        <f t="shared" si="2"/>
        <v>99.413630893775291</v>
      </c>
    </row>
    <row r="12" spans="1:14" ht="29.25" customHeight="1">
      <c r="A12" s="235" t="s">
        <v>3</v>
      </c>
      <c r="B12" s="236">
        <v>1013</v>
      </c>
      <c r="C12" s="142">
        <v>-3893.7</v>
      </c>
      <c r="D12" s="142">
        <v>-5764.6</v>
      </c>
      <c r="E12" s="142">
        <v>-5857.3</v>
      </c>
      <c r="F12" s="142">
        <v>-5764.6</v>
      </c>
      <c r="G12" s="142">
        <f t="shared" si="1"/>
        <v>92.699999999999818</v>
      </c>
      <c r="H12" s="237">
        <f t="shared" si="2"/>
        <v>98.417359534256406</v>
      </c>
    </row>
    <row r="13" spans="1:14" ht="29.25" customHeight="1">
      <c r="A13" s="235" t="s">
        <v>4</v>
      </c>
      <c r="B13" s="236">
        <v>1014</v>
      </c>
      <c r="C13" s="142">
        <v>-638.70000000000005</v>
      </c>
      <c r="D13" s="142">
        <v>-892.1</v>
      </c>
      <c r="E13" s="142"/>
      <c r="F13" s="142">
        <v>-892.1</v>
      </c>
      <c r="G13" s="142">
        <f t="shared" si="1"/>
        <v>-892.1</v>
      </c>
      <c r="H13" s="237"/>
    </row>
    <row r="14" spans="1:14" ht="30" customHeight="1">
      <c r="A14" s="235" t="s">
        <v>50</v>
      </c>
      <c r="B14" s="236">
        <v>1015</v>
      </c>
      <c r="C14" s="142">
        <v>-3000.7</v>
      </c>
      <c r="D14" s="142">
        <v>-3441.3</v>
      </c>
      <c r="E14" s="142">
        <v>-3379.9</v>
      </c>
      <c r="F14" s="142">
        <v>-3441.3</v>
      </c>
      <c r="G14" s="142">
        <f t="shared" si="1"/>
        <v>-61.400000000000091</v>
      </c>
      <c r="H14" s="237">
        <f t="shared" si="2"/>
        <v>101.81662179354419</v>
      </c>
      <c r="J14" s="145"/>
      <c r="K14" s="145"/>
      <c r="L14" s="145"/>
      <c r="M14" s="145"/>
      <c r="N14" s="145"/>
    </row>
    <row r="15" spans="1:14" ht="28.5" customHeight="1">
      <c r="A15" s="232" t="s">
        <v>26</v>
      </c>
      <c r="B15" s="236">
        <v>1020</v>
      </c>
      <c r="C15" s="150">
        <f>SUM(C8:C9)</f>
        <v>-22103.9</v>
      </c>
      <c r="D15" s="150">
        <f t="shared" ref="D15:F15" si="3">SUM(D8:D9)</f>
        <v>-12356.599999999999</v>
      </c>
      <c r="E15" s="150">
        <f t="shared" si="3"/>
        <v>-5655.8000000000029</v>
      </c>
      <c r="F15" s="150">
        <f t="shared" si="3"/>
        <v>-12356.599999999999</v>
      </c>
      <c r="G15" s="150">
        <f t="shared" si="1"/>
        <v>-6700.7999999999956</v>
      </c>
      <c r="H15" s="234">
        <f t="shared" si="2"/>
        <v>218.47660808373689</v>
      </c>
    </row>
    <row r="16" spans="1:14" ht="35.25" customHeight="1">
      <c r="A16" s="232" t="s">
        <v>85</v>
      </c>
      <c r="B16" s="233">
        <v>1020</v>
      </c>
      <c r="C16" s="150">
        <f>SUM(C17:C21)</f>
        <v>-2647.6</v>
      </c>
      <c r="D16" s="150">
        <f t="shared" ref="D16:F16" si="4">SUM(D17:D21)</f>
        <v>-2856.8</v>
      </c>
      <c r="E16" s="150">
        <f t="shared" si="4"/>
        <v>-2483.6000000000004</v>
      </c>
      <c r="F16" s="150">
        <f t="shared" si="4"/>
        <v>-2856.8</v>
      </c>
      <c r="G16" s="150">
        <f t="shared" si="1"/>
        <v>-373.19999999999982</v>
      </c>
      <c r="H16" s="234">
        <f t="shared" si="2"/>
        <v>115.02657432758897</v>
      </c>
    </row>
    <row r="17" spans="1:13" ht="27.75" customHeight="1">
      <c r="A17" s="235" t="s">
        <v>68</v>
      </c>
      <c r="B17" s="236">
        <v>1021</v>
      </c>
      <c r="C17" s="142">
        <v>-102.7</v>
      </c>
      <c r="D17" s="142">
        <v>-15.2</v>
      </c>
      <c r="E17" s="142">
        <v>-35.5</v>
      </c>
      <c r="F17" s="142">
        <v>-15.2</v>
      </c>
      <c r="G17" s="142">
        <f t="shared" si="1"/>
        <v>20.3</v>
      </c>
      <c r="H17" s="237">
        <f t="shared" si="2"/>
        <v>42.816901408450704</v>
      </c>
    </row>
    <row r="18" spans="1:13" ht="27.75" customHeight="1">
      <c r="A18" s="235" t="s">
        <v>2</v>
      </c>
      <c r="B18" s="236">
        <v>1022</v>
      </c>
      <c r="C18" s="142">
        <v>-1947.7</v>
      </c>
      <c r="D18" s="142">
        <v>-1956.4</v>
      </c>
      <c r="E18" s="142">
        <v>-1892.4</v>
      </c>
      <c r="F18" s="142">
        <v>-1956.4</v>
      </c>
      <c r="G18" s="142">
        <f t="shared" si="1"/>
        <v>-64</v>
      </c>
      <c r="H18" s="237">
        <f t="shared" si="2"/>
        <v>103.38194884802367</v>
      </c>
    </row>
    <row r="19" spans="1:13" ht="27.75" customHeight="1">
      <c r="A19" s="235" t="s">
        <v>3</v>
      </c>
      <c r="B19" s="236">
        <v>1023</v>
      </c>
      <c r="C19" s="142">
        <v>-433.5</v>
      </c>
      <c r="D19" s="142">
        <v>-433.7</v>
      </c>
      <c r="E19" s="142">
        <v>-417.9</v>
      </c>
      <c r="F19" s="142">
        <v>-433.7</v>
      </c>
      <c r="G19" s="142">
        <f t="shared" si="1"/>
        <v>-15.800000000000011</v>
      </c>
      <c r="H19" s="237">
        <f t="shared" si="2"/>
        <v>103.78080880593443</v>
      </c>
    </row>
    <row r="20" spans="1:13" ht="27.75" customHeight="1">
      <c r="A20" s="235" t="s">
        <v>4</v>
      </c>
      <c r="B20" s="236">
        <v>1024</v>
      </c>
      <c r="C20" s="142" t="s">
        <v>27</v>
      </c>
      <c r="D20" s="142">
        <v>-346.3</v>
      </c>
      <c r="E20" s="142"/>
      <c r="F20" s="142">
        <v>-346.3</v>
      </c>
      <c r="G20" s="142">
        <f t="shared" si="1"/>
        <v>-346.3</v>
      </c>
      <c r="H20" s="237"/>
      <c r="J20" s="145"/>
      <c r="K20" s="145"/>
      <c r="L20" s="145"/>
      <c r="M20" s="145"/>
    </row>
    <row r="21" spans="1:13" ht="27.75" customHeight="1">
      <c r="A21" s="235" t="s">
        <v>69</v>
      </c>
      <c r="B21" s="236">
        <v>1025</v>
      </c>
      <c r="C21" s="142">
        <v>-163.69999999999999</v>
      </c>
      <c r="D21" s="142">
        <v>-105.2</v>
      </c>
      <c r="E21" s="142">
        <v>-137.80000000000001</v>
      </c>
      <c r="F21" s="142">
        <v>-105.2</v>
      </c>
      <c r="G21" s="142">
        <f t="shared" si="1"/>
        <v>32.600000000000009</v>
      </c>
      <c r="H21" s="237">
        <f t="shared" si="2"/>
        <v>76.342525399129173</v>
      </c>
    </row>
    <row r="22" spans="1:13" ht="38.25" customHeight="1">
      <c r="A22" s="232" t="s">
        <v>36</v>
      </c>
      <c r="B22" s="233">
        <v>1040</v>
      </c>
      <c r="C22" s="150">
        <f>SUM(C23:C24)</f>
        <v>20406</v>
      </c>
      <c r="D22" s="150">
        <f>SUM(D23:D24)</f>
        <v>11165.5</v>
      </c>
      <c r="E22" s="150">
        <f>SUM(E23:E24)</f>
        <v>8366.6</v>
      </c>
      <c r="F22" s="150">
        <f>SUM(F23:F24)</f>
        <v>11165.5</v>
      </c>
      <c r="G22" s="150">
        <f t="shared" si="1"/>
        <v>2798.8999999999996</v>
      </c>
      <c r="H22" s="234">
        <f t="shared" si="2"/>
        <v>133.45325460760642</v>
      </c>
    </row>
    <row r="23" spans="1:13" ht="30.75" customHeight="1">
      <c r="A23" s="235" t="s">
        <v>37</v>
      </c>
      <c r="B23" s="236">
        <v>1041</v>
      </c>
      <c r="C23" s="142"/>
      <c r="D23" s="142"/>
      <c r="E23" s="142"/>
      <c r="F23" s="142"/>
      <c r="G23" s="142">
        <f t="shared" si="1"/>
        <v>0</v>
      </c>
      <c r="H23" s="237"/>
    </row>
    <row r="24" spans="1:13" ht="27.75" customHeight="1">
      <c r="A24" s="235" t="s">
        <v>38</v>
      </c>
      <c r="B24" s="236">
        <v>1042</v>
      </c>
      <c r="C24" s="142">
        <v>20406</v>
      </c>
      <c r="D24" s="142">
        <v>11165.5</v>
      </c>
      <c r="E24" s="142">
        <v>8366.6</v>
      </c>
      <c r="F24" s="142">
        <v>11165.5</v>
      </c>
      <c r="G24" s="142">
        <f t="shared" si="1"/>
        <v>2798.8999999999996</v>
      </c>
      <c r="H24" s="237">
        <f t="shared" si="2"/>
        <v>133.45325460760642</v>
      </c>
    </row>
    <row r="25" spans="1:13" ht="37.5" customHeight="1">
      <c r="A25" s="232" t="s">
        <v>13</v>
      </c>
      <c r="B25" s="233">
        <v>1030</v>
      </c>
      <c r="C25" s="150">
        <f>SUM(C26:C30)</f>
        <v>-516.79999999999995</v>
      </c>
      <c r="D25" s="150">
        <f t="shared" ref="D25:F25" si="5">SUM(D26:D30)</f>
        <v>-299.39999999999998</v>
      </c>
      <c r="E25" s="150">
        <f t="shared" si="5"/>
        <v>-244.8</v>
      </c>
      <c r="F25" s="150">
        <f t="shared" si="5"/>
        <v>-299.39999999999998</v>
      </c>
      <c r="G25" s="150">
        <f t="shared" si="1"/>
        <v>-54.599999999999966</v>
      </c>
      <c r="H25" s="234">
        <f t="shared" si="2"/>
        <v>122.30392156862744</v>
      </c>
    </row>
    <row r="26" spans="1:13" ht="27.75" customHeight="1">
      <c r="A26" s="235" t="s">
        <v>68</v>
      </c>
      <c r="B26" s="236">
        <v>1031</v>
      </c>
      <c r="C26" s="142">
        <v>-175.1</v>
      </c>
      <c r="D26" s="142" t="s">
        <v>27</v>
      </c>
      <c r="E26" s="142" t="s">
        <v>27</v>
      </c>
      <c r="F26" s="142" t="s">
        <v>27</v>
      </c>
      <c r="G26" s="142"/>
      <c r="H26" s="237"/>
    </row>
    <row r="27" spans="1:13" ht="27.75" customHeight="1">
      <c r="A27" s="235" t="s">
        <v>2</v>
      </c>
      <c r="B27" s="236">
        <v>1032</v>
      </c>
      <c r="C27" s="142">
        <v>-170.3</v>
      </c>
      <c r="D27" s="142">
        <v>-157.6</v>
      </c>
      <c r="E27" s="142">
        <v>-63</v>
      </c>
      <c r="F27" s="142">
        <v>-157.6</v>
      </c>
      <c r="G27" s="142">
        <f t="shared" si="1"/>
        <v>-94.6</v>
      </c>
      <c r="H27" s="237">
        <f t="shared" si="2"/>
        <v>250.15873015873015</v>
      </c>
    </row>
    <row r="28" spans="1:13" ht="27.75" customHeight="1">
      <c r="A28" s="235" t="s">
        <v>3</v>
      </c>
      <c r="B28" s="236">
        <v>1033</v>
      </c>
      <c r="C28" s="142">
        <v>-31.3</v>
      </c>
      <c r="D28" s="142">
        <v>-55.8</v>
      </c>
      <c r="E28" s="142">
        <v>-48.4</v>
      </c>
      <c r="F28" s="142">
        <v>-55.8</v>
      </c>
      <c r="G28" s="142">
        <f t="shared" si="1"/>
        <v>-7.3999999999999986</v>
      </c>
      <c r="H28" s="237">
        <f t="shared" si="2"/>
        <v>115.28925619834712</v>
      </c>
    </row>
    <row r="29" spans="1:13" ht="27.75" customHeight="1">
      <c r="A29" s="235" t="s">
        <v>4</v>
      </c>
      <c r="B29" s="236">
        <v>1034</v>
      </c>
      <c r="C29" s="142" t="s">
        <v>27</v>
      </c>
      <c r="D29" s="142" t="s">
        <v>27</v>
      </c>
      <c r="E29" s="142" t="s">
        <v>27</v>
      </c>
      <c r="F29" s="142"/>
      <c r="G29" s="142"/>
      <c r="H29" s="237"/>
    </row>
    <row r="30" spans="1:13" ht="27.75" customHeight="1">
      <c r="A30" s="235" t="s">
        <v>70</v>
      </c>
      <c r="B30" s="236">
        <v>1035</v>
      </c>
      <c r="C30" s="142">
        <v>-140.1</v>
      </c>
      <c r="D30" s="142">
        <v>-86</v>
      </c>
      <c r="E30" s="142">
        <v>-133.4</v>
      </c>
      <c r="F30" s="142">
        <v>-86</v>
      </c>
      <c r="G30" s="142">
        <f t="shared" si="1"/>
        <v>47.400000000000006</v>
      </c>
      <c r="H30" s="237">
        <f t="shared" si="2"/>
        <v>64.467766116941533</v>
      </c>
    </row>
    <row r="31" spans="1:13" ht="47.25" customHeight="1">
      <c r="A31" s="232" t="s">
        <v>1</v>
      </c>
      <c r="B31" s="236">
        <v>1100</v>
      </c>
      <c r="C31" s="150">
        <f>SUM(C15,C16,C22,C25)</f>
        <v>-4862.3</v>
      </c>
      <c r="D31" s="150">
        <f t="shared" ref="D31:F31" si="6">SUM(D15,D16,D22,D25)</f>
        <v>-4347.2999999999975</v>
      </c>
      <c r="E31" s="150">
        <f t="shared" si="6"/>
        <v>-17.600000000002922</v>
      </c>
      <c r="F31" s="150">
        <f t="shared" si="6"/>
        <v>-4347.2999999999975</v>
      </c>
      <c r="G31" s="150">
        <f t="shared" si="1"/>
        <v>-4329.6999999999944</v>
      </c>
      <c r="H31" s="234">
        <f t="shared" si="2"/>
        <v>24700.568181814066</v>
      </c>
    </row>
    <row r="32" spans="1:13" ht="27.75" customHeight="1">
      <c r="A32" s="232" t="s">
        <v>129</v>
      </c>
      <c r="B32" s="233">
        <v>1130</v>
      </c>
      <c r="C32" s="150"/>
      <c r="D32" s="150">
        <v>18.399999999999999</v>
      </c>
      <c r="E32" s="150">
        <v>17.600000000000001</v>
      </c>
      <c r="F32" s="150">
        <v>18.399999999999999</v>
      </c>
      <c r="G32" s="150">
        <f t="shared" si="1"/>
        <v>0.79999999999999716</v>
      </c>
      <c r="H32" s="234">
        <f t="shared" si="2"/>
        <v>104.54545454545452</v>
      </c>
    </row>
    <row r="33" spans="1:8" ht="27.75" customHeight="1">
      <c r="A33" s="238" t="s">
        <v>130</v>
      </c>
      <c r="B33" s="233">
        <v>1140</v>
      </c>
      <c r="C33" s="150" t="s">
        <v>27</v>
      </c>
      <c r="D33" s="150" t="s">
        <v>27</v>
      </c>
      <c r="E33" s="142" t="s">
        <v>27</v>
      </c>
      <c r="F33" s="142" t="s">
        <v>27</v>
      </c>
      <c r="G33" s="150"/>
      <c r="H33" s="234"/>
    </row>
    <row r="34" spans="1:8" ht="27.75" customHeight="1">
      <c r="A34" s="232" t="s">
        <v>131</v>
      </c>
      <c r="B34" s="233">
        <v>1150</v>
      </c>
      <c r="C34" s="150">
        <v>716</v>
      </c>
      <c r="D34" s="150">
        <v>1134.5</v>
      </c>
      <c r="E34" s="150"/>
      <c r="F34" s="150">
        <v>1134.5</v>
      </c>
      <c r="G34" s="150">
        <f t="shared" si="1"/>
        <v>1134.5</v>
      </c>
      <c r="H34" s="234"/>
    </row>
    <row r="35" spans="1:8" ht="27.75" customHeight="1">
      <c r="A35" s="232" t="s">
        <v>132</v>
      </c>
      <c r="B35" s="233">
        <v>1160</v>
      </c>
      <c r="C35" s="150" t="s">
        <v>27</v>
      </c>
      <c r="D35" s="150" t="s">
        <v>27</v>
      </c>
      <c r="E35" s="142" t="s">
        <v>27</v>
      </c>
      <c r="F35" s="142" t="s">
        <v>27</v>
      </c>
      <c r="G35" s="150"/>
      <c r="H35" s="234"/>
    </row>
    <row r="36" spans="1:8" ht="28.5" customHeight="1">
      <c r="A36" s="232" t="s">
        <v>16</v>
      </c>
      <c r="B36" s="233">
        <v>1170</v>
      </c>
      <c r="C36" s="150">
        <f>SUM(C31, C32:C35)</f>
        <v>-4146.3</v>
      </c>
      <c r="D36" s="150">
        <f>SUM(D31, D32:D35)</f>
        <v>-3194.3999999999978</v>
      </c>
      <c r="E36" s="150"/>
      <c r="F36" s="150">
        <f>SUM(F31, F32:F35)</f>
        <v>-3194.3999999999978</v>
      </c>
      <c r="G36" s="150">
        <f t="shared" si="1"/>
        <v>-3194.3999999999978</v>
      </c>
      <c r="H36" s="234"/>
    </row>
    <row r="37" spans="1:8" ht="27.75" customHeight="1">
      <c r="A37" s="238" t="s">
        <v>29</v>
      </c>
      <c r="B37" s="236">
        <v>1180</v>
      </c>
      <c r="C37" s="142" t="s">
        <v>27</v>
      </c>
      <c r="D37" s="142" t="s">
        <v>27</v>
      </c>
      <c r="E37" s="142" t="s">
        <v>27</v>
      </c>
      <c r="F37" s="142" t="s">
        <v>27</v>
      </c>
      <c r="G37" s="142"/>
      <c r="H37" s="237"/>
    </row>
    <row r="38" spans="1:8" ht="27" customHeight="1">
      <c r="A38" s="238" t="s">
        <v>30</v>
      </c>
      <c r="B38" s="236">
        <v>1181</v>
      </c>
      <c r="C38" s="142"/>
      <c r="D38" s="142"/>
      <c r="E38" s="142"/>
      <c r="F38" s="142"/>
      <c r="G38" s="150"/>
      <c r="H38" s="237"/>
    </row>
    <row r="39" spans="1:8" ht="28.5" customHeight="1">
      <c r="A39" s="232" t="s">
        <v>46</v>
      </c>
      <c r="B39" s="236">
        <v>1200</v>
      </c>
      <c r="C39" s="150">
        <f>SUM(C36:C38)</f>
        <v>-4146.3</v>
      </c>
      <c r="D39" s="150">
        <f>SUM(D36:D38)</f>
        <v>-3194.3999999999978</v>
      </c>
      <c r="E39" s="150">
        <f>SUM(E36:E38)</f>
        <v>0</v>
      </c>
      <c r="F39" s="150">
        <f>SUM(F36:F38)</f>
        <v>-3194.3999999999978</v>
      </c>
      <c r="G39" s="150">
        <f t="shared" si="1"/>
        <v>-3194.3999999999978</v>
      </c>
      <c r="H39" s="234"/>
    </row>
    <row r="40" spans="1:8" ht="35.25" customHeight="1">
      <c r="A40" s="238" t="s">
        <v>47</v>
      </c>
      <c r="B40" s="236">
        <v>1201</v>
      </c>
      <c r="C40" s="142"/>
      <c r="D40" s="142"/>
      <c r="E40" s="142"/>
      <c r="F40" s="142"/>
      <c r="G40" s="142"/>
      <c r="H40" s="237"/>
    </row>
    <row r="41" spans="1:8" ht="33" customHeight="1">
      <c r="A41" s="238" t="s">
        <v>48</v>
      </c>
      <c r="B41" s="236">
        <v>1202</v>
      </c>
      <c r="C41" s="142" t="s">
        <v>27</v>
      </c>
      <c r="D41" s="142" t="s">
        <v>27</v>
      </c>
      <c r="E41" s="142" t="s">
        <v>27</v>
      </c>
      <c r="F41" s="142" t="s">
        <v>27</v>
      </c>
      <c r="G41" s="142"/>
      <c r="H41" s="237"/>
    </row>
    <row r="42" spans="1:8" ht="33" customHeight="1">
      <c r="A42" s="232" t="s">
        <v>122</v>
      </c>
      <c r="B42" s="233">
        <v>1210</v>
      </c>
      <c r="C42" s="150">
        <f>SUM(C8,C22,C32,C34,C38)</f>
        <v>29062.1</v>
      </c>
      <c r="D42" s="150">
        <f t="shared" ref="D42:E42" si="7">SUM(D8,D22,D32,D34,D38)</f>
        <v>45960.800000000003</v>
      </c>
      <c r="E42" s="150">
        <f t="shared" si="7"/>
        <v>44087</v>
      </c>
      <c r="F42" s="150">
        <f>SUM(F8,F22,F32,F34,F38)</f>
        <v>45960.800000000003</v>
      </c>
      <c r="G42" s="150">
        <f t="shared" si="1"/>
        <v>1873.8000000000029</v>
      </c>
      <c r="H42" s="234">
        <f t="shared" si="2"/>
        <v>104.25023249483975</v>
      </c>
    </row>
    <row r="43" spans="1:8" ht="33" customHeight="1" thickBot="1">
      <c r="A43" s="239" t="s">
        <v>123</v>
      </c>
      <c r="B43" s="240">
        <v>1220</v>
      </c>
      <c r="C43" s="241">
        <f>SUM(C9,C16,C25,C33,C35,C37)</f>
        <v>-33208.400000000001</v>
      </c>
      <c r="D43" s="241">
        <f t="shared" ref="D43:F43" si="8">SUM(D9,D16,D25,D33,D35,D37)</f>
        <v>-49155.200000000004</v>
      </c>
      <c r="E43" s="241">
        <f t="shared" si="8"/>
        <v>-44087.000000000007</v>
      </c>
      <c r="F43" s="241">
        <f t="shared" si="8"/>
        <v>-49155.200000000004</v>
      </c>
      <c r="G43" s="241">
        <f t="shared" si="1"/>
        <v>-5068.1999999999971</v>
      </c>
      <c r="H43" s="242">
        <f t="shared" si="2"/>
        <v>111.49590582257807</v>
      </c>
    </row>
    <row r="44" spans="1:8" ht="33" customHeight="1">
      <c r="A44" s="257" t="s">
        <v>136</v>
      </c>
      <c r="B44" s="258"/>
      <c r="C44" s="258"/>
      <c r="D44" s="258"/>
      <c r="E44" s="258"/>
      <c r="F44" s="258"/>
      <c r="G44" s="258"/>
      <c r="H44" s="259"/>
    </row>
    <row r="45" spans="1:8" ht="33" customHeight="1">
      <c r="A45" s="235" t="s">
        <v>56</v>
      </c>
      <c r="B45" s="155">
        <v>9000</v>
      </c>
      <c r="C45" s="142">
        <v>4573.8</v>
      </c>
      <c r="D45" s="142">
        <v>8654</v>
      </c>
      <c r="E45" s="142">
        <v>4733.8999999999996</v>
      </c>
      <c r="F45" s="142">
        <v>8654</v>
      </c>
      <c r="G45" s="142">
        <f t="shared" ref="G45:G50" si="9">F45-E45</f>
        <v>3920.1000000000004</v>
      </c>
      <c r="H45" s="237">
        <f t="shared" ref="H45:H50" si="10">(F45/E45)*100</f>
        <v>182.80910031897591</v>
      </c>
    </row>
    <row r="46" spans="1:8" ht="33" customHeight="1">
      <c r="A46" s="235" t="s">
        <v>2</v>
      </c>
      <c r="B46" s="155">
        <v>9010</v>
      </c>
      <c r="C46" s="142">
        <v>20332.900000000001</v>
      </c>
      <c r="D46" s="142">
        <v>29376.2</v>
      </c>
      <c r="E46" s="142">
        <v>29378.400000000001</v>
      </c>
      <c r="F46" s="142">
        <v>29376.2</v>
      </c>
      <c r="G46" s="142">
        <f t="shared" si="9"/>
        <v>-2.2000000000007276</v>
      </c>
      <c r="H46" s="237">
        <f t="shared" si="10"/>
        <v>99.992511505051326</v>
      </c>
    </row>
    <row r="47" spans="1:8" ht="33" customHeight="1">
      <c r="A47" s="235" t="s">
        <v>3</v>
      </c>
      <c r="B47" s="155">
        <v>9020</v>
      </c>
      <c r="C47" s="142">
        <v>4358.5</v>
      </c>
      <c r="D47" s="142">
        <v>6254.1</v>
      </c>
      <c r="E47" s="142">
        <v>6323.6</v>
      </c>
      <c r="F47" s="142">
        <v>6254.1</v>
      </c>
      <c r="G47" s="142">
        <f t="shared" si="9"/>
        <v>-69.5</v>
      </c>
      <c r="H47" s="237">
        <f t="shared" si="10"/>
        <v>98.900942501106968</v>
      </c>
    </row>
    <row r="48" spans="1:8" ht="33" customHeight="1">
      <c r="A48" s="235" t="s">
        <v>4</v>
      </c>
      <c r="B48" s="155">
        <v>9030</v>
      </c>
      <c r="C48" s="142">
        <v>638.70000000000005</v>
      </c>
      <c r="D48" s="142">
        <v>1238.4000000000001</v>
      </c>
      <c r="E48" s="142"/>
      <c r="F48" s="142">
        <v>1238.4000000000001</v>
      </c>
      <c r="G48" s="142">
        <f t="shared" si="9"/>
        <v>1238.4000000000001</v>
      </c>
      <c r="H48" s="237"/>
    </row>
    <row r="49" spans="1:13" ht="33" customHeight="1">
      <c r="A49" s="235" t="s">
        <v>6</v>
      </c>
      <c r="B49" s="155">
        <v>9040</v>
      </c>
      <c r="C49" s="142">
        <v>3304.5</v>
      </c>
      <c r="D49" s="142">
        <v>3632.5</v>
      </c>
      <c r="E49" s="142">
        <v>3651.1</v>
      </c>
      <c r="F49" s="142">
        <v>3632.5</v>
      </c>
      <c r="G49" s="142">
        <f t="shared" si="9"/>
        <v>-18.599999999999909</v>
      </c>
      <c r="H49" s="237">
        <f t="shared" si="10"/>
        <v>99.490564487414758</v>
      </c>
    </row>
    <row r="50" spans="1:13" ht="33" customHeight="1" thickBot="1">
      <c r="A50" s="243" t="s">
        <v>9</v>
      </c>
      <c r="B50" s="244">
        <v>9050</v>
      </c>
      <c r="C50" s="241">
        <f>SUM(C45:C49)</f>
        <v>33208.400000000001</v>
      </c>
      <c r="D50" s="241">
        <f t="shared" ref="D50:F50" si="11">SUM(D45:D49)</f>
        <v>49155.199999999997</v>
      </c>
      <c r="E50" s="241">
        <f t="shared" si="11"/>
        <v>44087</v>
      </c>
      <c r="F50" s="241">
        <f t="shared" si="11"/>
        <v>49155.199999999997</v>
      </c>
      <c r="G50" s="241">
        <f t="shared" si="9"/>
        <v>5068.1999999999971</v>
      </c>
      <c r="H50" s="242">
        <f t="shared" si="10"/>
        <v>111.49590582257807</v>
      </c>
      <c r="J50" s="145"/>
      <c r="K50" s="145"/>
      <c r="L50" s="145"/>
      <c r="M50" s="145"/>
    </row>
    <row r="51" spans="1:13" ht="33" customHeight="1">
      <c r="A51" s="267" t="s">
        <v>96</v>
      </c>
      <c r="B51" s="268"/>
      <c r="C51" s="268"/>
      <c r="D51" s="268"/>
      <c r="E51" s="268"/>
      <c r="F51" s="268"/>
      <c r="G51" s="268"/>
      <c r="H51" s="269"/>
    </row>
    <row r="52" spans="1:13" ht="69" customHeight="1">
      <c r="A52" s="245" t="s">
        <v>145</v>
      </c>
      <c r="B52" s="233">
        <v>2110</v>
      </c>
      <c r="C52" s="150">
        <f t="shared" ref="C52:E52" si="12">SUM(C53:C56)</f>
        <v>-304.5</v>
      </c>
      <c r="D52" s="150">
        <f>SUM(D53:D56)</f>
        <v>-401.9</v>
      </c>
      <c r="E52" s="150">
        <f t="shared" si="12"/>
        <v>-501</v>
      </c>
      <c r="F52" s="150">
        <f>SUM(F53:F56)</f>
        <v>-401.9</v>
      </c>
      <c r="G52" s="150">
        <f>F52-E52</f>
        <v>99.100000000000023</v>
      </c>
      <c r="H52" s="234">
        <f>(F52/E52)*100</f>
        <v>80.219560878243513</v>
      </c>
    </row>
    <row r="53" spans="1:13" ht="44.25" customHeight="1">
      <c r="A53" s="235" t="s">
        <v>53</v>
      </c>
      <c r="B53" s="236">
        <v>2111</v>
      </c>
      <c r="C53" s="142" t="s">
        <v>27</v>
      </c>
      <c r="D53" s="142">
        <v>-49.4</v>
      </c>
      <c r="E53" s="142">
        <v>-60.4</v>
      </c>
      <c r="F53" s="142">
        <v>-49.4</v>
      </c>
      <c r="G53" s="142">
        <f t="shared" ref="G53:G67" si="13">F53-E53</f>
        <v>11</v>
      </c>
      <c r="H53" s="237">
        <f t="shared" ref="H53:H67" si="14">(F53/E53)*100</f>
        <v>81.788079470198667</v>
      </c>
    </row>
    <row r="54" spans="1:13" ht="45.75" customHeight="1">
      <c r="A54" s="246" t="s">
        <v>54</v>
      </c>
      <c r="B54" s="236">
        <v>2112</v>
      </c>
      <c r="C54" s="142" t="s">
        <v>27</v>
      </c>
      <c r="D54" s="142" t="s">
        <v>27</v>
      </c>
      <c r="E54" s="142" t="s">
        <v>27</v>
      </c>
      <c r="F54" s="142" t="s">
        <v>27</v>
      </c>
      <c r="G54" s="150"/>
      <c r="H54" s="234"/>
    </row>
    <row r="55" spans="1:13" ht="28.5" customHeight="1">
      <c r="A55" s="235" t="s">
        <v>61</v>
      </c>
      <c r="B55" s="236">
        <v>2113</v>
      </c>
      <c r="C55" s="142">
        <v>-304.5</v>
      </c>
      <c r="D55" s="142">
        <v>-352.5</v>
      </c>
      <c r="E55" s="142">
        <v>-440.6</v>
      </c>
      <c r="F55" s="142">
        <v>-352.5</v>
      </c>
      <c r="G55" s="142">
        <f t="shared" si="13"/>
        <v>88.100000000000023</v>
      </c>
      <c r="H55" s="237">
        <f t="shared" si="14"/>
        <v>80.004539264639135</v>
      </c>
    </row>
    <row r="56" spans="1:13" ht="33" customHeight="1">
      <c r="A56" s="235" t="s">
        <v>40</v>
      </c>
      <c r="B56" s="236">
        <v>2114</v>
      </c>
      <c r="C56" s="142" t="s">
        <v>27</v>
      </c>
      <c r="D56" s="142" t="s">
        <v>27</v>
      </c>
      <c r="E56" s="142" t="s">
        <v>27</v>
      </c>
      <c r="F56" s="142" t="s">
        <v>27</v>
      </c>
      <c r="G56" s="150"/>
      <c r="H56" s="234"/>
    </row>
    <row r="57" spans="1:13" ht="43.5" customHeight="1">
      <c r="A57" s="247" t="s">
        <v>58</v>
      </c>
      <c r="B57" s="218">
        <v>2120</v>
      </c>
      <c r="C57" s="150">
        <f>SUM(C58:C63)</f>
        <v>-3567.1</v>
      </c>
      <c r="D57" s="150">
        <f>SUM(D58:D63)</f>
        <v>-4889.8</v>
      </c>
      <c r="E57" s="150">
        <f>SUM(E58:E63)</f>
        <v>-5288.2</v>
      </c>
      <c r="F57" s="150">
        <f>SUM(F58:F63)</f>
        <v>-4889.8</v>
      </c>
      <c r="G57" s="150">
        <f t="shared" si="13"/>
        <v>398.39999999999964</v>
      </c>
      <c r="H57" s="234">
        <f t="shared" si="14"/>
        <v>92.46624560341894</v>
      </c>
    </row>
    <row r="58" spans="1:13" ht="27.75" customHeight="1">
      <c r="A58" s="246" t="s">
        <v>39</v>
      </c>
      <c r="B58" s="155">
        <v>2121</v>
      </c>
      <c r="C58" s="142" t="s">
        <v>27</v>
      </c>
      <c r="D58" s="142" t="s">
        <v>27</v>
      </c>
      <c r="E58" s="142" t="s">
        <v>27</v>
      </c>
      <c r="F58" s="142" t="s">
        <v>27</v>
      </c>
      <c r="G58" s="150"/>
      <c r="H58" s="234"/>
    </row>
    <row r="59" spans="1:13" ht="23.25" customHeight="1">
      <c r="A59" s="235" t="s">
        <v>15</v>
      </c>
      <c r="B59" s="155">
        <v>2122</v>
      </c>
      <c r="C59" s="142">
        <v>-3566.5</v>
      </c>
      <c r="D59" s="142">
        <v>-4889.5</v>
      </c>
      <c r="E59" s="142">
        <v>-5288</v>
      </c>
      <c r="F59" s="142">
        <v>-4889.5</v>
      </c>
      <c r="G59" s="142">
        <f t="shared" si="13"/>
        <v>398.5</v>
      </c>
      <c r="H59" s="237">
        <f t="shared" si="14"/>
        <v>92.464069591527988</v>
      </c>
    </row>
    <row r="60" spans="1:13" ht="24" customHeight="1">
      <c r="A60" s="235" t="s">
        <v>44</v>
      </c>
      <c r="B60" s="155">
        <v>2123</v>
      </c>
      <c r="C60" s="142">
        <v>-0.6</v>
      </c>
      <c r="D60" s="142">
        <v>-0.3</v>
      </c>
      <c r="E60" s="142">
        <v>-0.2</v>
      </c>
      <c r="F60" s="142">
        <v>-0.3</v>
      </c>
      <c r="G60" s="142">
        <f t="shared" si="13"/>
        <v>-9.9999999999999978E-2</v>
      </c>
      <c r="H60" s="237">
        <f t="shared" si="14"/>
        <v>149.99999999999997</v>
      </c>
    </row>
    <row r="61" spans="1:13" ht="21" customHeight="1">
      <c r="A61" s="235" t="s">
        <v>45</v>
      </c>
      <c r="B61" s="155">
        <v>2124</v>
      </c>
      <c r="C61" s="142" t="s">
        <v>27</v>
      </c>
      <c r="D61" s="142" t="s">
        <v>27</v>
      </c>
      <c r="E61" s="142" t="s">
        <v>27</v>
      </c>
      <c r="F61" s="142" t="s">
        <v>27</v>
      </c>
      <c r="G61" s="150"/>
      <c r="H61" s="234"/>
    </row>
    <row r="62" spans="1:13" ht="84.75" customHeight="1">
      <c r="A62" s="235" t="s">
        <v>124</v>
      </c>
      <c r="B62" s="155">
        <v>2125</v>
      </c>
      <c r="C62" s="142" t="s">
        <v>27</v>
      </c>
      <c r="D62" s="142" t="s">
        <v>27</v>
      </c>
      <c r="E62" s="142" t="s">
        <v>27</v>
      </c>
      <c r="F62" s="142" t="s">
        <v>27</v>
      </c>
      <c r="G62" s="150"/>
      <c r="H62" s="234"/>
    </row>
    <row r="63" spans="1:13" ht="31.5" customHeight="1">
      <c r="A63" s="235" t="s">
        <v>40</v>
      </c>
      <c r="B63" s="155">
        <v>2126</v>
      </c>
      <c r="C63" s="142" t="s">
        <v>27</v>
      </c>
      <c r="D63" s="142" t="s">
        <v>27</v>
      </c>
      <c r="E63" s="142" t="s">
        <v>27</v>
      </c>
      <c r="F63" s="142" t="s">
        <v>27</v>
      </c>
      <c r="G63" s="150"/>
      <c r="H63" s="234"/>
    </row>
    <row r="64" spans="1:13" ht="48" customHeight="1">
      <c r="A64" s="245" t="s">
        <v>59</v>
      </c>
      <c r="B64" s="218">
        <v>2130</v>
      </c>
      <c r="C64" s="150">
        <f>SUM(C65:C67)</f>
        <v>-4483.3</v>
      </c>
      <c r="D64" s="150">
        <f t="shared" ref="D64:E64" si="15">SUM(D65:D67)</f>
        <v>-6404.5</v>
      </c>
      <c r="E64" s="150">
        <f t="shared" si="15"/>
        <v>-6488.5</v>
      </c>
      <c r="F64" s="150">
        <f t="shared" ref="F64" si="16">SUM(F65:F67)</f>
        <v>-6404.5</v>
      </c>
      <c r="G64" s="150">
        <f t="shared" si="13"/>
        <v>84</v>
      </c>
      <c r="H64" s="234">
        <f t="shared" si="14"/>
        <v>98.705401864837796</v>
      </c>
    </row>
    <row r="65" spans="1:8" ht="33" customHeight="1">
      <c r="A65" s="235" t="s">
        <v>41</v>
      </c>
      <c r="B65" s="155">
        <v>2131</v>
      </c>
      <c r="C65" s="142" t="s">
        <v>27</v>
      </c>
      <c r="D65" s="142" t="s">
        <v>27</v>
      </c>
      <c r="E65" s="142" t="s">
        <v>27</v>
      </c>
      <c r="F65" s="142" t="s">
        <v>27</v>
      </c>
      <c r="G65" s="150"/>
      <c r="H65" s="234"/>
    </row>
    <row r="66" spans="1:8" ht="44.25" customHeight="1">
      <c r="A66" s="235" t="s">
        <v>42</v>
      </c>
      <c r="B66" s="155">
        <v>2132</v>
      </c>
      <c r="C66" s="142">
        <v>-4358.5</v>
      </c>
      <c r="D66" s="142">
        <v>-6254.1</v>
      </c>
      <c r="E66" s="142">
        <v>-6323.6</v>
      </c>
      <c r="F66" s="142">
        <v>-6254.1</v>
      </c>
      <c r="G66" s="142">
        <f t="shared" si="13"/>
        <v>69.5</v>
      </c>
      <c r="H66" s="237">
        <f t="shared" si="14"/>
        <v>98.900942501106968</v>
      </c>
    </row>
    <row r="67" spans="1:8" ht="30" customHeight="1">
      <c r="A67" s="235" t="s">
        <v>43</v>
      </c>
      <c r="B67" s="155">
        <v>2133</v>
      </c>
      <c r="C67" s="142">
        <v>-124.8</v>
      </c>
      <c r="D67" s="142">
        <v>-150.4</v>
      </c>
      <c r="E67" s="142">
        <v>-164.9</v>
      </c>
      <c r="F67" s="142">
        <v>-150.4</v>
      </c>
      <c r="G67" s="142">
        <f t="shared" si="13"/>
        <v>14.5</v>
      </c>
      <c r="H67" s="237">
        <f t="shared" si="14"/>
        <v>91.206791995148578</v>
      </c>
    </row>
    <row r="68" spans="1:8" ht="30.75" customHeight="1" thickBot="1">
      <c r="A68" s="248" t="s">
        <v>55</v>
      </c>
      <c r="B68" s="244">
        <v>2200</v>
      </c>
      <c r="C68" s="241">
        <f>SUM(C52+C57+C64)</f>
        <v>-8354.9</v>
      </c>
      <c r="D68" s="241">
        <f>SUM(D52+D57+D64)</f>
        <v>-11696.2</v>
      </c>
      <c r="E68" s="241">
        <f>SUM(E52+E57+E64)</f>
        <v>-12277.7</v>
      </c>
      <c r="F68" s="241">
        <f>SUM(F52+F57+F64)</f>
        <v>-11696.2</v>
      </c>
      <c r="G68" s="150">
        <f t="shared" ref="G68" si="17">F68-E68</f>
        <v>581.5</v>
      </c>
      <c r="H68" s="242">
        <f t="shared" ref="H68" si="18">(F68/E68)*100</f>
        <v>95.263770901716114</v>
      </c>
    </row>
    <row r="69" spans="1:8" ht="33" customHeight="1">
      <c r="A69" s="270" t="s">
        <v>97</v>
      </c>
      <c r="B69" s="271"/>
      <c r="C69" s="271"/>
      <c r="D69" s="271"/>
      <c r="E69" s="271"/>
      <c r="F69" s="271"/>
      <c r="G69" s="271"/>
      <c r="H69" s="272"/>
    </row>
    <row r="70" spans="1:8" ht="27.75" customHeight="1">
      <c r="A70" s="232" t="s">
        <v>20</v>
      </c>
      <c r="B70" s="233">
        <v>4000</v>
      </c>
      <c r="C70" s="150">
        <f>SUM(C71:C77)</f>
        <v>-5282.9</v>
      </c>
      <c r="D70" s="150">
        <f>SUM(D71:D77)</f>
        <v>-592</v>
      </c>
      <c r="E70" s="150">
        <f>SUM(E71:E77)</f>
        <v>0</v>
      </c>
      <c r="F70" s="150">
        <f>SUM(F71:F77)</f>
        <v>-592</v>
      </c>
      <c r="G70" s="150"/>
      <c r="H70" s="234"/>
    </row>
    <row r="71" spans="1:8" ht="30.75" customHeight="1">
      <c r="A71" s="249" t="s">
        <v>62</v>
      </c>
      <c r="B71" s="236">
        <v>4010</v>
      </c>
      <c r="C71" s="142" t="s">
        <v>27</v>
      </c>
      <c r="D71" s="142" t="s">
        <v>27</v>
      </c>
      <c r="E71" s="142" t="s">
        <v>27</v>
      </c>
      <c r="F71" s="142" t="s">
        <v>27</v>
      </c>
      <c r="G71" s="142"/>
      <c r="H71" s="237"/>
    </row>
    <row r="72" spans="1:8" ht="40.5" customHeight="1">
      <c r="A72" s="235" t="s">
        <v>133</v>
      </c>
      <c r="B72" s="236">
        <v>4020</v>
      </c>
      <c r="C72" s="142">
        <v>-3384.2</v>
      </c>
      <c r="D72" s="142">
        <v>-428.2</v>
      </c>
      <c r="E72" s="142" t="s">
        <v>27</v>
      </c>
      <c r="F72" s="142">
        <v>-428.2</v>
      </c>
      <c r="G72" s="142"/>
      <c r="H72" s="237"/>
    </row>
    <row r="73" spans="1:8" ht="39" customHeight="1">
      <c r="A73" s="235" t="s">
        <v>71</v>
      </c>
      <c r="B73" s="236">
        <v>4030</v>
      </c>
      <c r="C73" s="142">
        <v>-348.7</v>
      </c>
      <c r="D73" s="142">
        <v>-163.80000000000001</v>
      </c>
      <c r="E73" s="142" t="s">
        <v>27</v>
      </c>
      <c r="F73" s="142">
        <v>-163.80000000000001</v>
      </c>
      <c r="G73" s="142"/>
      <c r="H73" s="237"/>
    </row>
    <row r="74" spans="1:8" ht="39.75" customHeight="1">
      <c r="A74" s="235" t="s">
        <v>134</v>
      </c>
      <c r="B74" s="236">
        <v>4040</v>
      </c>
      <c r="C74" s="142" t="s">
        <v>27</v>
      </c>
      <c r="D74" s="142" t="s">
        <v>27</v>
      </c>
      <c r="E74" s="142" t="s">
        <v>27</v>
      </c>
      <c r="F74" s="142" t="s">
        <v>27</v>
      </c>
      <c r="G74" s="142"/>
      <c r="H74" s="237"/>
    </row>
    <row r="75" spans="1:8" ht="66" customHeight="1">
      <c r="A75" s="235" t="s">
        <v>63</v>
      </c>
      <c r="B75" s="236">
        <v>4050</v>
      </c>
      <c r="C75" s="142">
        <v>-1550</v>
      </c>
      <c r="D75" s="142" t="s">
        <v>27</v>
      </c>
      <c r="E75" s="142" t="s">
        <v>27</v>
      </c>
      <c r="F75" s="142" t="s">
        <v>27</v>
      </c>
      <c r="G75" s="142"/>
      <c r="H75" s="237"/>
    </row>
    <row r="76" spans="1:8" ht="36.75" customHeight="1">
      <c r="A76" s="235" t="s">
        <v>64</v>
      </c>
      <c r="B76" s="236">
        <v>4060</v>
      </c>
      <c r="C76" s="142" t="s">
        <v>27</v>
      </c>
      <c r="D76" s="142" t="s">
        <v>27</v>
      </c>
      <c r="E76" s="142" t="s">
        <v>27</v>
      </c>
      <c r="F76" s="142" t="s">
        <v>27</v>
      </c>
      <c r="G76" s="142"/>
      <c r="H76" s="237"/>
    </row>
    <row r="77" spans="1:8" ht="39.75" customHeight="1" thickBot="1">
      <c r="A77" s="13" t="s">
        <v>50</v>
      </c>
      <c r="B77" s="14">
        <v>4070</v>
      </c>
      <c r="C77" s="35" t="s">
        <v>27</v>
      </c>
      <c r="D77" s="35" t="s">
        <v>27</v>
      </c>
      <c r="E77" s="35" t="s">
        <v>27</v>
      </c>
      <c r="F77" s="35" t="s">
        <v>27</v>
      </c>
      <c r="G77" s="35"/>
      <c r="H77" s="44"/>
    </row>
    <row r="78" spans="1:8" ht="37.5" customHeight="1">
      <c r="A78" s="283" t="s">
        <v>98</v>
      </c>
      <c r="B78" s="284"/>
      <c r="C78" s="284"/>
      <c r="D78" s="284"/>
      <c r="E78" s="284"/>
      <c r="F78" s="284"/>
      <c r="G78" s="284"/>
      <c r="H78" s="285"/>
    </row>
    <row r="79" spans="1:8" ht="46.5" customHeight="1">
      <c r="A79" s="273" t="s">
        <v>24</v>
      </c>
      <c r="B79" s="275" t="s">
        <v>5</v>
      </c>
      <c r="C79" s="260" t="s">
        <v>127</v>
      </c>
      <c r="D79" s="260"/>
      <c r="E79" s="261" t="s">
        <v>141</v>
      </c>
      <c r="F79" s="262"/>
      <c r="G79" s="262"/>
      <c r="H79" s="263"/>
    </row>
    <row r="80" spans="1:8" ht="45" customHeight="1">
      <c r="A80" s="274"/>
      <c r="B80" s="276"/>
      <c r="C80" s="46" t="s">
        <v>139</v>
      </c>
      <c r="D80" s="143" t="s">
        <v>140</v>
      </c>
      <c r="E80" s="147" t="s">
        <v>113</v>
      </c>
      <c r="F80" s="147" t="s">
        <v>114</v>
      </c>
      <c r="G80" s="7" t="s">
        <v>115</v>
      </c>
      <c r="H80" s="7" t="s">
        <v>116</v>
      </c>
    </row>
    <row r="81" spans="1:12" s="31" customFormat="1" ht="86.25" customHeight="1">
      <c r="A81" s="37" t="s">
        <v>135</v>
      </c>
      <c r="B81" s="15" t="s">
        <v>31</v>
      </c>
      <c r="C81" s="16">
        <f t="shared" ref="C81" si="19">SUM(C82:C84)</f>
        <v>557</v>
      </c>
      <c r="D81" s="148">
        <v>544</v>
      </c>
      <c r="E81" s="148">
        <f t="shared" ref="E81" si="20">SUM(E82:E84)</f>
        <v>561</v>
      </c>
      <c r="F81" s="148">
        <v>544</v>
      </c>
      <c r="G81" s="16">
        <f>F81-E81</f>
        <v>-17</v>
      </c>
      <c r="H81" s="38">
        <f>F81/E81*100</f>
        <v>96.969696969696969</v>
      </c>
      <c r="I81" s="144"/>
    </row>
    <row r="82" spans="1:12" ht="27.75" customHeight="1">
      <c r="A82" s="39" t="s">
        <v>22</v>
      </c>
      <c r="B82" s="9" t="s">
        <v>32</v>
      </c>
      <c r="C82" s="18">
        <v>1</v>
      </c>
      <c r="D82" s="149">
        <v>1</v>
      </c>
      <c r="E82" s="149">
        <v>1</v>
      </c>
      <c r="F82" s="149">
        <v>1</v>
      </c>
      <c r="G82" s="18">
        <f t="shared" ref="G82:G96" si="21">F82-E82</f>
        <v>0</v>
      </c>
      <c r="H82" s="40">
        <f t="shared" ref="H82:H96" si="22">F82/E82*100</f>
        <v>100</v>
      </c>
    </row>
    <row r="83" spans="1:12" ht="27.75" customHeight="1">
      <c r="A83" s="39" t="s">
        <v>25</v>
      </c>
      <c r="B83" s="9" t="s">
        <v>33</v>
      </c>
      <c r="C83" s="18">
        <v>58</v>
      </c>
      <c r="D83" s="149">
        <v>59</v>
      </c>
      <c r="E83" s="149">
        <v>59</v>
      </c>
      <c r="F83" s="149">
        <v>59</v>
      </c>
      <c r="G83" s="18">
        <f t="shared" si="21"/>
        <v>0</v>
      </c>
      <c r="H83" s="40">
        <f t="shared" si="22"/>
        <v>100</v>
      </c>
    </row>
    <row r="84" spans="1:12" ht="27.75" customHeight="1">
      <c r="A84" s="39" t="s">
        <v>23</v>
      </c>
      <c r="B84" s="9" t="s">
        <v>34</v>
      </c>
      <c r="C84" s="18">
        <v>498</v>
      </c>
      <c r="D84" s="149">
        <v>501</v>
      </c>
      <c r="E84" s="149">
        <v>501</v>
      </c>
      <c r="F84" s="149">
        <v>501</v>
      </c>
      <c r="G84" s="18">
        <f t="shared" si="21"/>
        <v>0</v>
      </c>
      <c r="H84" s="40">
        <f t="shared" si="22"/>
        <v>100</v>
      </c>
    </row>
    <row r="85" spans="1:12" ht="27.75" customHeight="1">
      <c r="A85" s="12" t="s">
        <v>439</v>
      </c>
      <c r="B85" s="8" t="s">
        <v>35</v>
      </c>
      <c r="C85" s="1">
        <f>SUM(C86:C88)</f>
        <v>18918.400000000001</v>
      </c>
      <c r="D85" s="150">
        <f t="shared" ref="D85" si="23">SUM(D86:D88)</f>
        <v>29376.2</v>
      </c>
      <c r="E85" s="150">
        <v>29378.400000000001</v>
      </c>
      <c r="F85" s="150">
        <f t="shared" ref="F85" si="24">SUM(F86:F88)</f>
        <v>29376.2</v>
      </c>
      <c r="G85" s="16">
        <f t="shared" si="21"/>
        <v>-2.2000000000007276</v>
      </c>
      <c r="H85" s="38">
        <f t="shared" si="22"/>
        <v>99.992511505051326</v>
      </c>
      <c r="I85" s="146"/>
      <c r="J85" s="146"/>
      <c r="K85" s="146"/>
      <c r="L85" s="146"/>
    </row>
    <row r="86" spans="1:12" ht="27.75" customHeight="1">
      <c r="A86" s="39" t="s">
        <v>22</v>
      </c>
      <c r="B86" s="9">
        <v>8011</v>
      </c>
      <c r="C86" s="19">
        <v>173.1</v>
      </c>
      <c r="D86" s="142">
        <v>231.5</v>
      </c>
      <c r="E86" s="142">
        <v>232</v>
      </c>
      <c r="F86" s="142">
        <v>231.5</v>
      </c>
      <c r="G86" s="18">
        <f t="shared" si="21"/>
        <v>-0.5</v>
      </c>
      <c r="H86" s="40">
        <f t="shared" si="22"/>
        <v>99.784482758620683</v>
      </c>
    </row>
    <row r="87" spans="1:12" ht="27.75" customHeight="1">
      <c r="A87" s="39" t="s">
        <v>25</v>
      </c>
      <c r="B87" s="9">
        <v>8012</v>
      </c>
      <c r="C87" s="19">
        <f>1819.6-7.8</f>
        <v>1811.8</v>
      </c>
      <c r="D87" s="142">
        <v>1552.9</v>
      </c>
      <c r="E87" s="142">
        <v>1554</v>
      </c>
      <c r="F87" s="142">
        <v>1552.9</v>
      </c>
      <c r="G87" s="18">
        <f t="shared" si="21"/>
        <v>-1.0999999999999091</v>
      </c>
      <c r="H87" s="40">
        <f t="shared" si="22"/>
        <v>99.929214929214936</v>
      </c>
    </row>
    <row r="88" spans="1:12" ht="27.75" customHeight="1">
      <c r="A88" s="39" t="s">
        <v>23</v>
      </c>
      <c r="B88" s="9">
        <v>8013</v>
      </c>
      <c r="C88" s="19">
        <f>17012.1-78.6</f>
        <v>16933.5</v>
      </c>
      <c r="D88" s="142">
        <v>27591.8</v>
      </c>
      <c r="E88" s="142">
        <v>27593</v>
      </c>
      <c r="F88" s="142">
        <v>27591.8</v>
      </c>
      <c r="G88" s="18">
        <f t="shared" si="21"/>
        <v>-1.2000000000007276</v>
      </c>
      <c r="H88" s="40">
        <f t="shared" si="22"/>
        <v>99.995651070923785</v>
      </c>
    </row>
    <row r="89" spans="1:12" ht="27.75" customHeight="1">
      <c r="A89" s="12" t="s">
        <v>2</v>
      </c>
      <c r="B89" s="8">
        <v>8020</v>
      </c>
      <c r="C89" s="1">
        <f>C46</f>
        <v>20332.900000000001</v>
      </c>
      <c r="D89" s="150">
        <f t="shared" ref="D89" si="25">SUM(D90:D92)</f>
        <v>29376.2</v>
      </c>
      <c r="E89" s="150">
        <f>E46</f>
        <v>29378.400000000001</v>
      </c>
      <c r="F89" s="150">
        <f t="shared" ref="F89" si="26">SUM(F90:F92)</f>
        <v>29376.2</v>
      </c>
      <c r="G89" s="16">
        <f t="shared" si="21"/>
        <v>-2.2000000000007276</v>
      </c>
      <c r="H89" s="38">
        <f t="shared" si="22"/>
        <v>99.992511505051326</v>
      </c>
    </row>
    <row r="90" spans="1:12" ht="27.75" customHeight="1">
      <c r="A90" s="39" t="s">
        <v>22</v>
      </c>
      <c r="B90" s="9">
        <v>8021</v>
      </c>
      <c r="C90" s="19">
        <v>173.1</v>
      </c>
      <c r="D90" s="142">
        <v>231.5</v>
      </c>
      <c r="E90" s="142">
        <v>232</v>
      </c>
      <c r="F90" s="142">
        <v>231.5</v>
      </c>
      <c r="G90" s="18">
        <f t="shared" si="21"/>
        <v>-0.5</v>
      </c>
      <c r="H90" s="40">
        <f t="shared" si="22"/>
        <v>99.784482758620683</v>
      </c>
    </row>
    <row r="91" spans="1:12" ht="27.75" customHeight="1">
      <c r="A91" s="39" t="s">
        <v>25</v>
      </c>
      <c r="B91" s="9">
        <v>8022</v>
      </c>
      <c r="C91" s="19">
        <f>1819.6</f>
        <v>1819.6</v>
      </c>
      <c r="D91" s="142">
        <v>1552.9</v>
      </c>
      <c r="E91" s="142">
        <v>1554</v>
      </c>
      <c r="F91" s="142">
        <v>1552.9</v>
      </c>
      <c r="G91" s="18">
        <f t="shared" si="21"/>
        <v>-1.0999999999999091</v>
      </c>
      <c r="H91" s="40">
        <f t="shared" si="22"/>
        <v>99.929214929214936</v>
      </c>
    </row>
    <row r="92" spans="1:12" ht="27.75" customHeight="1">
      <c r="A92" s="39" t="s">
        <v>23</v>
      </c>
      <c r="B92" s="9">
        <v>8023</v>
      </c>
      <c r="C92" s="19">
        <f>17012.1+1328.2</f>
        <v>18340.3</v>
      </c>
      <c r="D92" s="142">
        <v>27591.8</v>
      </c>
      <c r="E92" s="142">
        <v>27593</v>
      </c>
      <c r="F92" s="142">
        <v>27591.8</v>
      </c>
      <c r="G92" s="18">
        <f t="shared" si="21"/>
        <v>-1.2000000000007276</v>
      </c>
      <c r="H92" s="40">
        <f t="shared" si="22"/>
        <v>99.995651070923785</v>
      </c>
    </row>
    <row r="93" spans="1:12" s="17" customFormat="1" ht="47.25" customHeight="1">
      <c r="A93" s="37" t="s">
        <v>49</v>
      </c>
      <c r="B93" s="15" t="s">
        <v>72</v>
      </c>
      <c r="C93" s="16">
        <f>(C89/C81)/3*1000</f>
        <v>12168.102932375823</v>
      </c>
      <c r="D93" s="148">
        <f>(D89/D81)/6*1000</f>
        <v>9000.0612745098042</v>
      </c>
      <c r="E93" s="148">
        <f>(E89/E81)/6*1000</f>
        <v>8727.9857397504456</v>
      </c>
      <c r="F93" s="148">
        <f>(F89/F81)/6*1000</f>
        <v>9000.0612745098042</v>
      </c>
      <c r="G93" s="16">
        <f t="shared" si="21"/>
        <v>272.07553475935856</v>
      </c>
      <c r="H93" s="38">
        <f t="shared" si="22"/>
        <v>103.1172774895842</v>
      </c>
    </row>
    <row r="94" spans="1:12" ht="27.75" customHeight="1">
      <c r="A94" s="39" t="s">
        <v>22</v>
      </c>
      <c r="B94" s="9">
        <v>8031</v>
      </c>
      <c r="C94" s="18">
        <f>(C90/C82)/6*1000</f>
        <v>28849.999999999996</v>
      </c>
      <c r="D94" s="149">
        <f t="shared" ref="D94:E96" si="27">(D90/D82)/6*1000</f>
        <v>38583.333333333336</v>
      </c>
      <c r="E94" s="149">
        <f t="shared" si="27"/>
        <v>38666.666666666664</v>
      </c>
      <c r="F94" s="149">
        <f t="shared" ref="F94" si="28">(F90/F82)/6*1000</f>
        <v>38583.333333333336</v>
      </c>
      <c r="G94" s="18">
        <f t="shared" si="21"/>
        <v>-83.333333333328483</v>
      </c>
      <c r="H94" s="40">
        <f t="shared" si="22"/>
        <v>99.784482758620712</v>
      </c>
    </row>
    <row r="95" spans="1:12" ht="27.75" customHeight="1">
      <c r="A95" s="39" t="s">
        <v>25</v>
      </c>
      <c r="B95" s="9">
        <v>8032</v>
      </c>
      <c r="C95" s="18">
        <f>(C91/C83)/6*1000</f>
        <v>5228.7356321839079</v>
      </c>
      <c r="D95" s="149">
        <f t="shared" si="27"/>
        <v>4386.7231638418089</v>
      </c>
      <c r="E95" s="149">
        <f t="shared" si="27"/>
        <v>4389.8305084745762</v>
      </c>
      <c r="F95" s="149">
        <f t="shared" ref="F95" si="29">(F91/F83)/6*1000</f>
        <v>4386.7231638418089</v>
      </c>
      <c r="G95" s="18">
        <f t="shared" si="21"/>
        <v>-3.1073446327673082</v>
      </c>
      <c r="H95" s="40">
        <f t="shared" si="22"/>
        <v>99.92921492921495</v>
      </c>
    </row>
    <row r="96" spans="1:12" ht="27.75" customHeight="1" thickBot="1">
      <c r="A96" s="41" t="s">
        <v>23</v>
      </c>
      <c r="B96" s="14">
        <v>8033</v>
      </c>
      <c r="C96" s="42">
        <f>(C92/C84)/6*1000</f>
        <v>6137.9852744310574</v>
      </c>
      <c r="D96" s="151">
        <f t="shared" si="27"/>
        <v>9178.9088489687292</v>
      </c>
      <c r="E96" s="151">
        <f t="shared" si="27"/>
        <v>9179.3080505655362</v>
      </c>
      <c r="F96" s="151">
        <f t="shared" ref="F96" si="30">(F92/F84)/6*1000</f>
        <v>9178.9088489687292</v>
      </c>
      <c r="G96" s="42">
        <f t="shared" si="21"/>
        <v>-0.39920159680696088</v>
      </c>
      <c r="H96" s="36">
        <f t="shared" si="22"/>
        <v>99.99565107092377</v>
      </c>
    </row>
    <row r="97" spans="1:8" s="17" customFormat="1">
      <c r="A97" s="20"/>
      <c r="C97" s="21"/>
      <c r="D97" s="22"/>
      <c r="E97" s="23"/>
      <c r="F97" s="23"/>
      <c r="G97" s="23"/>
      <c r="H97" s="23"/>
    </row>
    <row r="98" spans="1:8" s="17" customFormat="1">
      <c r="A98" s="20"/>
      <c r="C98" s="21"/>
      <c r="D98" s="22"/>
      <c r="E98" s="23"/>
      <c r="F98" s="23"/>
      <c r="G98" s="23"/>
      <c r="H98" s="23"/>
    </row>
    <row r="99" spans="1:8" s="17" customFormat="1" ht="28.5" customHeight="1">
      <c r="A99" s="125" t="s">
        <v>364</v>
      </c>
      <c r="B99" s="24"/>
      <c r="C99" s="281"/>
      <c r="D99" s="282"/>
      <c r="E99" s="25"/>
      <c r="F99" s="286" t="s">
        <v>517</v>
      </c>
      <c r="G99" s="286"/>
      <c r="H99" s="286"/>
    </row>
    <row r="100" spans="1:8" s="17" customFormat="1">
      <c r="A100" s="17" t="s">
        <v>11</v>
      </c>
      <c r="B100" s="2"/>
      <c r="C100" s="280" t="s">
        <v>12</v>
      </c>
      <c r="D100" s="280"/>
      <c r="E100" s="3"/>
      <c r="F100" s="287" t="s">
        <v>17</v>
      </c>
      <c r="G100" s="287"/>
      <c r="H100" s="287"/>
    </row>
    <row r="101" spans="1:8" s="17" customFormat="1">
      <c r="A101" s="26"/>
      <c r="E101" s="2"/>
      <c r="F101" s="2"/>
      <c r="G101" s="2"/>
      <c r="H101" s="2"/>
    </row>
    <row r="102" spans="1:8" s="17" customFormat="1">
      <c r="A102" s="26"/>
      <c r="E102" s="2"/>
      <c r="F102" s="2"/>
      <c r="G102" s="2"/>
      <c r="H102" s="2"/>
    </row>
    <row r="103" spans="1:8" s="17" customFormat="1">
      <c r="A103" s="26"/>
      <c r="E103" s="2"/>
      <c r="F103" s="2"/>
      <c r="G103" s="2"/>
      <c r="H103" s="2"/>
    </row>
    <row r="104" spans="1:8" s="17" customFormat="1">
      <c r="A104" s="26"/>
      <c r="E104" s="2"/>
      <c r="F104" s="2"/>
      <c r="G104" s="2"/>
      <c r="H104" s="2"/>
    </row>
    <row r="105" spans="1:8" s="17" customFormat="1">
      <c r="A105" s="26"/>
      <c r="E105" s="2"/>
      <c r="F105" s="2"/>
      <c r="G105" s="2"/>
      <c r="H105" s="2"/>
    </row>
    <row r="106" spans="1:8" s="17" customFormat="1">
      <c r="A106" s="26"/>
      <c r="E106" s="2"/>
      <c r="F106" s="2"/>
      <c r="G106" s="2"/>
      <c r="H106" s="2"/>
    </row>
    <row r="107" spans="1:8" s="17" customFormat="1">
      <c r="A107" s="26"/>
      <c r="E107" s="2"/>
      <c r="F107" s="2"/>
      <c r="G107" s="2"/>
      <c r="H107" s="2"/>
    </row>
    <row r="108" spans="1:8" s="17" customFormat="1">
      <c r="A108" s="26"/>
      <c r="E108" s="2"/>
      <c r="F108" s="2"/>
      <c r="G108" s="2"/>
      <c r="H108" s="2"/>
    </row>
    <row r="109" spans="1:8" s="17" customFormat="1">
      <c r="A109" s="26"/>
      <c r="E109" s="2"/>
      <c r="F109" s="2"/>
      <c r="G109" s="2"/>
      <c r="H109" s="2"/>
    </row>
    <row r="110" spans="1:8" s="17" customFormat="1">
      <c r="A110" s="26"/>
      <c r="E110" s="2"/>
      <c r="F110" s="2"/>
      <c r="G110" s="2"/>
      <c r="H110" s="2"/>
    </row>
    <row r="111" spans="1:8" s="17" customFormat="1">
      <c r="A111" s="26"/>
      <c r="E111" s="2"/>
      <c r="F111" s="2"/>
      <c r="G111" s="2"/>
      <c r="H111" s="2"/>
    </row>
    <row r="112" spans="1:8" s="17" customFormat="1">
      <c r="A112" s="26"/>
      <c r="E112" s="2"/>
      <c r="F112" s="2"/>
      <c r="G112" s="2"/>
      <c r="H112" s="2"/>
    </row>
    <row r="113" spans="1:8" s="17" customFormat="1">
      <c r="A113" s="26"/>
      <c r="E113" s="2"/>
      <c r="F113" s="2"/>
      <c r="G113" s="2"/>
      <c r="H113" s="2"/>
    </row>
    <row r="114" spans="1:8" s="17" customFormat="1">
      <c r="A114" s="26"/>
      <c r="E114" s="2"/>
      <c r="F114" s="2"/>
      <c r="G114" s="2"/>
      <c r="H114" s="2"/>
    </row>
    <row r="115" spans="1:8" s="17" customFormat="1">
      <c r="A115" s="26"/>
      <c r="E115" s="2"/>
      <c r="F115" s="2"/>
      <c r="G115" s="2"/>
      <c r="H115" s="2"/>
    </row>
    <row r="116" spans="1:8" s="17" customFormat="1">
      <c r="A116" s="26"/>
      <c r="E116" s="2"/>
      <c r="F116" s="2"/>
      <c r="G116" s="2"/>
      <c r="H116" s="2"/>
    </row>
    <row r="117" spans="1:8" s="17" customFormat="1">
      <c r="A117" s="26"/>
      <c r="E117" s="2"/>
      <c r="F117" s="2"/>
      <c r="G117" s="2"/>
      <c r="H117" s="2"/>
    </row>
    <row r="118" spans="1:8" s="17" customFormat="1">
      <c r="A118" s="26"/>
      <c r="E118" s="2"/>
      <c r="F118" s="2"/>
      <c r="G118" s="2"/>
      <c r="H118" s="2"/>
    </row>
    <row r="119" spans="1:8" s="17" customFormat="1">
      <c r="A119" s="26"/>
      <c r="E119" s="2"/>
      <c r="F119" s="2"/>
      <c r="G119" s="2"/>
      <c r="H119" s="2"/>
    </row>
    <row r="120" spans="1:8" s="17" customFormat="1">
      <c r="A120" s="26"/>
      <c r="E120" s="2"/>
      <c r="F120" s="2"/>
      <c r="G120" s="2"/>
      <c r="H120" s="2"/>
    </row>
    <row r="121" spans="1:8" s="17" customFormat="1">
      <c r="A121" s="26"/>
      <c r="E121" s="2"/>
      <c r="F121" s="2"/>
      <c r="G121" s="2"/>
      <c r="H121" s="2"/>
    </row>
    <row r="122" spans="1:8" s="17" customFormat="1">
      <c r="A122" s="26"/>
      <c r="E122" s="2"/>
      <c r="F122" s="2"/>
      <c r="G122" s="2"/>
      <c r="H122" s="2"/>
    </row>
    <row r="123" spans="1:8" s="17" customFormat="1">
      <c r="A123" s="26"/>
      <c r="E123" s="2"/>
      <c r="F123" s="2"/>
      <c r="G123" s="2"/>
      <c r="H123" s="2"/>
    </row>
    <row r="124" spans="1:8" s="17" customFormat="1">
      <c r="A124" s="26"/>
      <c r="E124" s="2"/>
      <c r="F124" s="2"/>
      <c r="G124" s="2"/>
      <c r="H124" s="2"/>
    </row>
    <row r="125" spans="1:8" s="17" customFormat="1">
      <c r="A125" s="26"/>
      <c r="E125" s="2"/>
      <c r="F125" s="2"/>
      <c r="G125" s="2"/>
      <c r="H125" s="2"/>
    </row>
    <row r="126" spans="1:8" s="17" customFormat="1">
      <c r="A126" s="26"/>
      <c r="E126" s="2"/>
      <c r="F126" s="2"/>
      <c r="G126" s="2"/>
      <c r="H126" s="2"/>
    </row>
    <row r="127" spans="1:8" s="17" customFormat="1">
      <c r="A127" s="26"/>
      <c r="E127" s="2"/>
      <c r="F127" s="2"/>
      <c r="G127" s="2"/>
      <c r="H127" s="2"/>
    </row>
    <row r="128" spans="1:8" s="17" customFormat="1">
      <c r="A128" s="26"/>
      <c r="E128" s="2"/>
      <c r="F128" s="2"/>
      <c r="G128" s="2"/>
      <c r="H128" s="2"/>
    </row>
    <row r="129" spans="1:8" s="17" customFormat="1">
      <c r="A129" s="26"/>
      <c r="E129" s="2"/>
      <c r="F129" s="2"/>
      <c r="G129" s="2"/>
      <c r="H129" s="2"/>
    </row>
    <row r="130" spans="1:8" s="17" customFormat="1">
      <c r="A130" s="26"/>
      <c r="E130" s="2"/>
      <c r="F130" s="2"/>
      <c r="G130" s="2"/>
      <c r="H130" s="2"/>
    </row>
    <row r="131" spans="1:8" s="17" customFormat="1">
      <c r="A131" s="26"/>
      <c r="E131" s="2"/>
      <c r="F131" s="2"/>
      <c r="G131" s="2"/>
      <c r="H131" s="2"/>
    </row>
    <row r="132" spans="1:8" s="17" customFormat="1">
      <c r="A132" s="26"/>
      <c r="E132" s="2"/>
      <c r="F132" s="2"/>
      <c r="G132" s="2"/>
      <c r="H132" s="2"/>
    </row>
    <row r="133" spans="1:8" s="17" customFormat="1">
      <c r="A133" s="26"/>
      <c r="E133" s="2"/>
      <c r="F133" s="2"/>
      <c r="G133" s="2"/>
      <c r="H133" s="2"/>
    </row>
    <row r="134" spans="1:8" s="17" customFormat="1">
      <c r="A134" s="26"/>
      <c r="E134" s="2"/>
      <c r="F134" s="2"/>
      <c r="G134" s="2"/>
      <c r="H134" s="2"/>
    </row>
    <row r="135" spans="1:8" s="17" customFormat="1">
      <c r="A135" s="26"/>
      <c r="E135" s="2"/>
      <c r="F135" s="2"/>
      <c r="G135" s="2"/>
      <c r="H135" s="2"/>
    </row>
    <row r="136" spans="1:8" s="17" customFormat="1">
      <c r="A136" s="26"/>
      <c r="E136" s="2"/>
      <c r="F136" s="2"/>
      <c r="G136" s="2"/>
      <c r="H136" s="2"/>
    </row>
    <row r="137" spans="1:8" s="17" customFormat="1">
      <c r="A137" s="26"/>
      <c r="E137" s="2"/>
      <c r="F137" s="2"/>
      <c r="G137" s="2"/>
      <c r="H137" s="2"/>
    </row>
    <row r="138" spans="1:8" s="17" customFormat="1">
      <c r="A138" s="26"/>
      <c r="E138" s="2"/>
      <c r="F138" s="2"/>
      <c r="G138" s="2"/>
      <c r="H138" s="2"/>
    </row>
    <row r="139" spans="1:8" s="17" customFormat="1">
      <c r="A139" s="26"/>
      <c r="E139" s="2"/>
      <c r="F139" s="2"/>
      <c r="G139" s="2"/>
      <c r="H139" s="2"/>
    </row>
    <row r="140" spans="1:8" s="17" customFormat="1">
      <c r="A140" s="26"/>
      <c r="E140" s="2"/>
      <c r="F140" s="2"/>
      <c r="G140" s="2"/>
      <c r="H140" s="2"/>
    </row>
    <row r="141" spans="1:8" s="17" customFormat="1">
      <c r="A141" s="26"/>
      <c r="E141" s="2"/>
      <c r="F141" s="2"/>
      <c r="G141" s="2"/>
      <c r="H141" s="2"/>
    </row>
    <row r="142" spans="1:8" s="17" customFormat="1">
      <c r="A142" s="26"/>
      <c r="E142" s="2"/>
      <c r="F142" s="2"/>
      <c r="G142" s="2"/>
      <c r="H142" s="2"/>
    </row>
    <row r="143" spans="1:8" s="17" customFormat="1">
      <c r="A143" s="26"/>
      <c r="E143" s="2"/>
      <c r="F143" s="2"/>
      <c r="G143" s="2"/>
      <c r="H143" s="2"/>
    </row>
    <row r="144" spans="1:8" s="17" customFormat="1">
      <c r="A144" s="26"/>
      <c r="E144" s="2"/>
      <c r="F144" s="2"/>
      <c r="G144" s="2"/>
      <c r="H144" s="2"/>
    </row>
    <row r="145" spans="1:8" s="17" customFormat="1">
      <c r="A145" s="26"/>
      <c r="E145" s="2"/>
      <c r="F145" s="2"/>
      <c r="G145" s="2"/>
      <c r="H145" s="2"/>
    </row>
    <row r="146" spans="1:8" s="17" customFormat="1">
      <c r="A146" s="26"/>
      <c r="E146" s="2"/>
      <c r="F146" s="2"/>
      <c r="G146" s="2"/>
      <c r="H146" s="2"/>
    </row>
    <row r="147" spans="1:8" s="17" customFormat="1">
      <c r="A147" s="26"/>
      <c r="E147" s="2"/>
      <c r="F147" s="2"/>
      <c r="G147" s="2"/>
      <c r="H147" s="2"/>
    </row>
    <row r="148" spans="1:8" s="17" customFormat="1">
      <c r="A148" s="26"/>
      <c r="E148" s="2"/>
      <c r="F148" s="2"/>
      <c r="G148" s="2"/>
      <c r="H148" s="2"/>
    </row>
    <row r="149" spans="1:8" s="17" customFormat="1">
      <c r="A149" s="26"/>
      <c r="E149" s="2"/>
      <c r="F149" s="2"/>
      <c r="G149" s="2"/>
      <c r="H149" s="2"/>
    </row>
    <row r="150" spans="1:8" s="17" customFormat="1">
      <c r="A150" s="26"/>
      <c r="E150" s="2"/>
      <c r="F150" s="2"/>
      <c r="G150" s="2"/>
      <c r="H150" s="2"/>
    </row>
    <row r="151" spans="1:8" s="17" customFormat="1">
      <c r="A151" s="26"/>
      <c r="E151" s="2"/>
      <c r="F151" s="2"/>
      <c r="G151" s="2"/>
      <c r="H151" s="2"/>
    </row>
    <row r="152" spans="1:8" s="17" customFormat="1">
      <c r="A152" s="26"/>
      <c r="E152" s="2"/>
      <c r="F152" s="2"/>
      <c r="G152" s="2"/>
      <c r="H152" s="2"/>
    </row>
    <row r="153" spans="1:8" s="17" customFormat="1">
      <c r="A153" s="26"/>
      <c r="E153" s="2"/>
      <c r="F153" s="2"/>
      <c r="G153" s="2"/>
      <c r="H153" s="2"/>
    </row>
    <row r="154" spans="1:8" s="17" customFormat="1">
      <c r="A154" s="26"/>
      <c r="E154" s="2"/>
      <c r="F154" s="2"/>
      <c r="G154" s="2"/>
      <c r="H154" s="2"/>
    </row>
    <row r="155" spans="1:8" s="17" customFormat="1">
      <c r="A155" s="26"/>
      <c r="E155" s="2"/>
      <c r="F155" s="2"/>
      <c r="G155" s="2"/>
      <c r="H155" s="2"/>
    </row>
    <row r="156" spans="1:8" s="17" customFormat="1">
      <c r="A156" s="26"/>
      <c r="E156" s="2"/>
      <c r="F156" s="2"/>
      <c r="G156" s="2"/>
      <c r="H156" s="2"/>
    </row>
    <row r="157" spans="1:8" s="17" customFormat="1">
      <c r="A157" s="26"/>
      <c r="E157" s="2"/>
      <c r="F157" s="2"/>
      <c r="G157" s="2"/>
      <c r="H157" s="2"/>
    </row>
    <row r="158" spans="1:8" s="17" customFormat="1">
      <c r="A158" s="26"/>
      <c r="E158" s="2"/>
      <c r="F158" s="2"/>
      <c r="G158" s="2"/>
      <c r="H158" s="2"/>
    </row>
    <row r="159" spans="1:8" s="17" customFormat="1">
      <c r="A159" s="26"/>
      <c r="E159" s="2"/>
      <c r="F159" s="2"/>
      <c r="G159" s="2"/>
      <c r="H159" s="2"/>
    </row>
    <row r="160" spans="1:8" s="17" customFormat="1">
      <c r="A160" s="26"/>
      <c r="E160" s="2"/>
      <c r="F160" s="2"/>
      <c r="G160" s="2"/>
      <c r="H160" s="2"/>
    </row>
    <row r="161" spans="1:8" s="17" customFormat="1">
      <c r="A161" s="26"/>
      <c r="E161" s="2"/>
      <c r="F161" s="2"/>
      <c r="G161" s="2"/>
      <c r="H161" s="2"/>
    </row>
    <row r="162" spans="1:8" s="17" customFormat="1">
      <c r="A162" s="26"/>
      <c r="E162" s="2"/>
      <c r="F162" s="2"/>
      <c r="G162" s="2"/>
      <c r="H162" s="2"/>
    </row>
    <row r="163" spans="1:8" s="17" customFormat="1">
      <c r="A163" s="26"/>
      <c r="E163" s="2"/>
      <c r="F163" s="2"/>
      <c r="G163" s="2"/>
      <c r="H163" s="2"/>
    </row>
    <row r="164" spans="1:8" s="17" customFormat="1">
      <c r="A164" s="26"/>
      <c r="E164" s="2"/>
      <c r="F164" s="2"/>
      <c r="G164" s="2"/>
      <c r="H164" s="2"/>
    </row>
    <row r="165" spans="1:8" s="17" customFormat="1">
      <c r="A165" s="26"/>
      <c r="E165" s="2"/>
      <c r="F165" s="2"/>
      <c r="G165" s="2"/>
      <c r="H165" s="2"/>
    </row>
    <row r="166" spans="1:8" s="17" customFormat="1">
      <c r="A166" s="26"/>
      <c r="E166" s="2"/>
      <c r="F166" s="2"/>
      <c r="G166" s="2"/>
      <c r="H166" s="2"/>
    </row>
    <row r="167" spans="1:8" s="17" customFormat="1">
      <c r="A167" s="26"/>
      <c r="E167" s="2"/>
      <c r="F167" s="2"/>
      <c r="G167" s="2"/>
      <c r="H167" s="2"/>
    </row>
    <row r="168" spans="1:8" s="17" customFormat="1">
      <c r="A168" s="26"/>
      <c r="E168" s="2"/>
      <c r="F168" s="2"/>
      <c r="G168" s="2"/>
      <c r="H168" s="2"/>
    </row>
    <row r="169" spans="1:8" s="17" customFormat="1">
      <c r="A169" s="26"/>
      <c r="E169" s="2"/>
      <c r="F169" s="2"/>
      <c r="G169" s="2"/>
      <c r="H169" s="2"/>
    </row>
    <row r="170" spans="1:8" s="17" customFormat="1">
      <c r="A170" s="26"/>
      <c r="E170" s="2"/>
      <c r="F170" s="2"/>
      <c r="G170" s="2"/>
      <c r="H170" s="2"/>
    </row>
    <row r="171" spans="1:8" s="17" customFormat="1">
      <c r="A171" s="26"/>
      <c r="E171" s="2"/>
      <c r="F171" s="2"/>
      <c r="G171" s="2"/>
      <c r="H171" s="2"/>
    </row>
    <row r="172" spans="1:8" s="17" customFormat="1">
      <c r="A172" s="26"/>
      <c r="E172" s="2"/>
      <c r="F172" s="2"/>
      <c r="G172" s="2"/>
      <c r="H172" s="2"/>
    </row>
    <row r="173" spans="1:8" s="17" customFormat="1">
      <c r="A173" s="26"/>
      <c r="E173" s="2"/>
      <c r="F173" s="2"/>
      <c r="G173" s="2"/>
      <c r="H173" s="2"/>
    </row>
    <row r="174" spans="1:8" s="17" customFormat="1">
      <c r="A174" s="26"/>
      <c r="E174" s="2"/>
      <c r="F174" s="2"/>
      <c r="G174" s="2"/>
      <c r="H174" s="2"/>
    </row>
    <row r="175" spans="1:8" s="17" customFormat="1">
      <c r="A175" s="26"/>
      <c r="E175" s="2"/>
      <c r="F175" s="2"/>
      <c r="G175" s="2"/>
      <c r="H175" s="2"/>
    </row>
    <row r="176" spans="1:8" s="17" customFormat="1">
      <c r="A176" s="26"/>
      <c r="E176" s="2"/>
      <c r="F176" s="2"/>
      <c r="G176" s="2"/>
      <c r="H176" s="2"/>
    </row>
    <row r="177" spans="1:8" s="17" customFormat="1">
      <c r="A177" s="26"/>
      <c r="E177" s="2"/>
      <c r="F177" s="2"/>
      <c r="G177" s="2"/>
      <c r="H177" s="2"/>
    </row>
    <row r="178" spans="1:8" s="17" customFormat="1">
      <c r="A178" s="26"/>
      <c r="E178" s="2"/>
      <c r="F178" s="2"/>
      <c r="G178" s="2"/>
      <c r="H178" s="2"/>
    </row>
    <row r="179" spans="1:8" s="17" customFormat="1">
      <c r="A179" s="26"/>
      <c r="E179" s="2"/>
      <c r="F179" s="2"/>
      <c r="G179" s="2"/>
      <c r="H179" s="2"/>
    </row>
    <row r="180" spans="1:8" s="17" customFormat="1">
      <c r="A180" s="26"/>
      <c r="E180" s="2"/>
      <c r="F180" s="2"/>
      <c r="G180" s="2"/>
      <c r="H180" s="2"/>
    </row>
    <row r="181" spans="1:8" s="17" customFormat="1">
      <c r="A181" s="26"/>
      <c r="E181" s="2"/>
      <c r="F181" s="2"/>
      <c r="G181" s="2"/>
      <c r="H181" s="2"/>
    </row>
    <row r="182" spans="1:8" s="17" customFormat="1">
      <c r="A182" s="26"/>
      <c r="E182" s="2"/>
      <c r="F182" s="2"/>
      <c r="G182" s="2"/>
      <c r="H182" s="2"/>
    </row>
    <row r="183" spans="1:8" s="17" customFormat="1">
      <c r="A183" s="26"/>
      <c r="E183" s="2"/>
      <c r="F183" s="2"/>
      <c r="G183" s="2"/>
      <c r="H183" s="2"/>
    </row>
    <row r="184" spans="1:8" s="17" customFormat="1">
      <c r="A184" s="26"/>
      <c r="E184" s="2"/>
      <c r="F184" s="2"/>
      <c r="G184" s="2"/>
      <c r="H184" s="2"/>
    </row>
    <row r="185" spans="1:8" s="17" customFormat="1">
      <c r="A185" s="26"/>
      <c r="E185" s="2"/>
      <c r="F185" s="2"/>
      <c r="G185" s="2"/>
      <c r="H185" s="2"/>
    </row>
    <row r="186" spans="1:8" s="17" customFormat="1">
      <c r="A186" s="26"/>
      <c r="E186" s="2"/>
      <c r="F186" s="2"/>
      <c r="G186" s="2"/>
      <c r="H186" s="2"/>
    </row>
    <row r="187" spans="1:8" s="17" customFormat="1">
      <c r="A187" s="26"/>
      <c r="E187" s="2"/>
      <c r="F187" s="2"/>
      <c r="G187" s="2"/>
      <c r="H187" s="2"/>
    </row>
    <row r="188" spans="1:8" s="17" customFormat="1">
      <c r="A188" s="26"/>
      <c r="E188" s="2"/>
      <c r="F188" s="2"/>
      <c r="G188" s="2"/>
      <c r="H188" s="2"/>
    </row>
    <row r="189" spans="1:8" s="17" customFormat="1">
      <c r="A189" s="26"/>
      <c r="E189" s="2"/>
      <c r="F189" s="2"/>
      <c r="G189" s="2"/>
      <c r="H189" s="2"/>
    </row>
    <row r="190" spans="1:8" s="17" customFormat="1">
      <c r="A190" s="26"/>
      <c r="E190" s="2"/>
      <c r="F190" s="2"/>
      <c r="G190" s="2"/>
      <c r="H190" s="2"/>
    </row>
    <row r="191" spans="1:8" s="17" customFormat="1">
      <c r="A191" s="26"/>
      <c r="E191" s="2"/>
      <c r="F191" s="2"/>
      <c r="G191" s="2"/>
      <c r="H191" s="2"/>
    </row>
    <row r="192" spans="1:8" s="17" customFormat="1">
      <c r="A192" s="26"/>
      <c r="E192" s="2"/>
      <c r="F192" s="2"/>
      <c r="G192" s="2"/>
      <c r="H192" s="2"/>
    </row>
    <row r="193" spans="1:8" s="17" customFormat="1">
      <c r="A193" s="26"/>
      <c r="E193" s="2"/>
      <c r="F193" s="2"/>
      <c r="G193" s="2"/>
      <c r="H193" s="2"/>
    </row>
    <row r="194" spans="1:8" s="17" customFormat="1">
      <c r="A194" s="26"/>
      <c r="E194" s="2"/>
      <c r="F194" s="2"/>
      <c r="G194" s="2"/>
      <c r="H194" s="2"/>
    </row>
    <row r="195" spans="1:8" s="17" customFormat="1">
      <c r="A195" s="26"/>
      <c r="E195" s="2"/>
      <c r="F195" s="2"/>
      <c r="G195" s="2"/>
      <c r="H195" s="2"/>
    </row>
    <row r="196" spans="1:8" s="17" customFormat="1">
      <c r="A196" s="26"/>
      <c r="E196" s="2"/>
      <c r="F196" s="2"/>
      <c r="G196" s="2"/>
      <c r="H196" s="2"/>
    </row>
    <row r="197" spans="1:8" s="17" customFormat="1">
      <c r="A197" s="26"/>
      <c r="E197" s="2"/>
      <c r="F197" s="2"/>
      <c r="G197" s="2"/>
      <c r="H197" s="2"/>
    </row>
    <row r="198" spans="1:8" s="17" customFormat="1">
      <c r="A198" s="26"/>
      <c r="E198" s="2"/>
      <c r="F198" s="2"/>
      <c r="G198" s="2"/>
      <c r="H198" s="2"/>
    </row>
    <row r="199" spans="1:8" s="17" customFormat="1">
      <c r="A199" s="26"/>
      <c r="E199" s="2"/>
      <c r="F199" s="2"/>
      <c r="G199" s="2"/>
      <c r="H199" s="2"/>
    </row>
    <row r="200" spans="1:8" s="17" customFormat="1">
      <c r="A200" s="26"/>
      <c r="E200" s="2"/>
      <c r="F200" s="2"/>
      <c r="G200" s="2"/>
      <c r="H200" s="2"/>
    </row>
    <row r="201" spans="1:8" s="17" customFormat="1">
      <c r="A201" s="26"/>
      <c r="E201" s="2"/>
      <c r="F201" s="2"/>
      <c r="G201" s="2"/>
      <c r="H201" s="2"/>
    </row>
    <row r="202" spans="1:8" s="17" customFormat="1">
      <c r="A202" s="26"/>
      <c r="E202" s="2"/>
      <c r="F202" s="2"/>
      <c r="G202" s="2"/>
      <c r="H202" s="2"/>
    </row>
    <row r="203" spans="1:8" s="17" customFormat="1">
      <c r="A203" s="26"/>
      <c r="E203" s="2"/>
      <c r="F203" s="2"/>
      <c r="G203" s="2"/>
      <c r="H203" s="2"/>
    </row>
    <row r="204" spans="1:8" s="17" customFormat="1">
      <c r="A204" s="26"/>
      <c r="E204" s="2"/>
      <c r="F204" s="2"/>
      <c r="G204" s="2"/>
      <c r="H204" s="2"/>
    </row>
    <row r="205" spans="1:8" s="17" customFormat="1">
      <c r="A205" s="26"/>
      <c r="E205" s="2"/>
      <c r="F205" s="2"/>
      <c r="G205" s="2"/>
      <c r="H205" s="2"/>
    </row>
    <row r="206" spans="1:8" s="17" customFormat="1">
      <c r="A206" s="26"/>
      <c r="E206" s="2"/>
      <c r="F206" s="2"/>
      <c r="G206" s="2"/>
      <c r="H206" s="2"/>
    </row>
    <row r="207" spans="1:8" s="17" customFormat="1">
      <c r="A207" s="26"/>
      <c r="E207" s="2"/>
      <c r="F207" s="2"/>
      <c r="G207" s="2"/>
      <c r="H207" s="2"/>
    </row>
    <row r="208" spans="1:8" s="17" customFormat="1">
      <c r="A208" s="26"/>
      <c r="E208" s="2"/>
      <c r="F208" s="2"/>
      <c r="G208" s="2"/>
      <c r="H208" s="2"/>
    </row>
    <row r="209" spans="1:8" s="17" customFormat="1">
      <c r="A209" s="26"/>
      <c r="E209" s="2"/>
      <c r="F209" s="2"/>
      <c r="G209" s="2"/>
      <c r="H209" s="2"/>
    </row>
    <row r="210" spans="1:8" s="17" customFormat="1">
      <c r="A210" s="26"/>
      <c r="E210" s="2"/>
      <c r="F210" s="2"/>
      <c r="G210" s="2"/>
      <c r="H210" s="2"/>
    </row>
    <row r="211" spans="1:8" s="17" customFormat="1">
      <c r="A211" s="26"/>
      <c r="E211" s="2"/>
      <c r="F211" s="2"/>
      <c r="G211" s="2"/>
      <c r="H211" s="2"/>
    </row>
    <row r="212" spans="1:8" s="17" customFormat="1">
      <c r="A212" s="26"/>
      <c r="E212" s="2"/>
      <c r="F212" s="2"/>
      <c r="G212" s="2"/>
      <c r="H212" s="2"/>
    </row>
    <row r="213" spans="1:8" s="17" customFormat="1">
      <c r="A213" s="26"/>
      <c r="E213" s="2"/>
      <c r="F213" s="2"/>
      <c r="G213" s="2"/>
      <c r="H213" s="2"/>
    </row>
    <row r="214" spans="1:8" s="17" customFormat="1">
      <c r="A214" s="26"/>
      <c r="E214" s="2"/>
      <c r="F214" s="2"/>
      <c r="G214" s="2"/>
      <c r="H214" s="2"/>
    </row>
    <row r="215" spans="1:8" s="17" customFormat="1">
      <c r="A215" s="26"/>
      <c r="E215" s="2"/>
      <c r="F215" s="2"/>
      <c r="G215" s="2"/>
      <c r="H215" s="2"/>
    </row>
    <row r="216" spans="1:8" s="17" customFormat="1">
      <c r="A216" s="26"/>
      <c r="E216" s="2"/>
      <c r="F216" s="2"/>
      <c r="G216" s="2"/>
      <c r="H216" s="2"/>
    </row>
    <row r="217" spans="1:8" s="17" customFormat="1">
      <c r="A217" s="26"/>
      <c r="E217" s="2"/>
      <c r="F217" s="2"/>
      <c r="G217" s="2"/>
      <c r="H217" s="2"/>
    </row>
    <row r="218" spans="1:8" s="17" customFormat="1">
      <c r="A218" s="26"/>
      <c r="E218" s="2"/>
      <c r="F218" s="2"/>
      <c r="G218" s="2"/>
      <c r="H218" s="2"/>
    </row>
    <row r="219" spans="1:8" s="17" customFormat="1">
      <c r="A219" s="26"/>
      <c r="E219" s="2"/>
      <c r="F219" s="2"/>
      <c r="G219" s="2"/>
      <c r="H219" s="2"/>
    </row>
    <row r="220" spans="1:8" s="17" customFormat="1">
      <c r="A220" s="26"/>
      <c r="E220" s="2"/>
      <c r="F220" s="2"/>
      <c r="G220" s="2"/>
      <c r="H220" s="2"/>
    </row>
    <row r="221" spans="1:8" s="17" customFormat="1">
      <c r="A221" s="26"/>
      <c r="E221" s="2"/>
      <c r="F221" s="2"/>
      <c r="G221" s="2"/>
      <c r="H221" s="2"/>
    </row>
    <row r="222" spans="1:8" s="17" customFormat="1">
      <c r="A222" s="26"/>
      <c r="E222" s="2"/>
      <c r="F222" s="2"/>
      <c r="G222" s="2"/>
      <c r="H222" s="2"/>
    </row>
    <row r="223" spans="1:8" s="17" customFormat="1">
      <c r="A223" s="26"/>
      <c r="E223" s="2"/>
      <c r="F223" s="2"/>
      <c r="G223" s="2"/>
      <c r="H223" s="2"/>
    </row>
    <row r="224" spans="1:8" s="17" customFormat="1">
      <c r="A224" s="26"/>
      <c r="E224" s="2"/>
      <c r="F224" s="2"/>
      <c r="G224" s="2"/>
      <c r="H224" s="2"/>
    </row>
    <row r="225" spans="1:8" s="17" customFormat="1">
      <c r="A225" s="26"/>
      <c r="E225" s="2"/>
      <c r="F225" s="2"/>
      <c r="G225" s="2"/>
      <c r="H225" s="2"/>
    </row>
    <row r="226" spans="1:8" s="17" customFormat="1">
      <c r="A226" s="26"/>
      <c r="E226" s="2"/>
      <c r="F226" s="2"/>
      <c r="G226" s="2"/>
      <c r="H226" s="2"/>
    </row>
    <row r="227" spans="1:8" s="17" customFormat="1">
      <c r="A227" s="26"/>
      <c r="E227" s="2"/>
      <c r="F227" s="2"/>
      <c r="G227" s="2"/>
      <c r="H227" s="2"/>
    </row>
    <row r="228" spans="1:8" s="17" customFormat="1">
      <c r="A228" s="26"/>
      <c r="E228" s="2"/>
      <c r="F228" s="2"/>
      <c r="G228" s="2"/>
      <c r="H228" s="2"/>
    </row>
    <row r="229" spans="1:8" s="17" customFormat="1">
      <c r="A229" s="26"/>
      <c r="E229" s="2"/>
      <c r="F229" s="2"/>
      <c r="G229" s="2"/>
      <c r="H229" s="2"/>
    </row>
    <row r="230" spans="1:8" s="17" customFormat="1">
      <c r="A230" s="26"/>
      <c r="E230" s="2"/>
      <c r="F230" s="2"/>
      <c r="G230" s="2"/>
      <c r="H230" s="2"/>
    </row>
    <row r="231" spans="1:8" s="17" customFormat="1">
      <c r="A231" s="26"/>
      <c r="E231" s="2"/>
      <c r="F231" s="2"/>
      <c r="G231" s="2"/>
      <c r="H231" s="2"/>
    </row>
    <row r="232" spans="1:8" s="17" customFormat="1">
      <c r="A232" s="26"/>
      <c r="E232" s="2"/>
      <c r="F232" s="2"/>
      <c r="G232" s="2"/>
      <c r="H232" s="2"/>
    </row>
    <row r="233" spans="1:8" s="17" customFormat="1">
      <c r="A233" s="26"/>
      <c r="E233" s="2"/>
      <c r="F233" s="2"/>
      <c r="G233" s="2"/>
      <c r="H233" s="2"/>
    </row>
    <row r="234" spans="1:8" s="17" customFormat="1">
      <c r="A234" s="26"/>
      <c r="E234" s="2"/>
      <c r="F234" s="2"/>
      <c r="G234" s="2"/>
      <c r="H234" s="2"/>
    </row>
    <row r="235" spans="1:8" s="17" customFormat="1">
      <c r="A235" s="26"/>
      <c r="E235" s="2"/>
      <c r="F235" s="2"/>
      <c r="G235" s="2"/>
      <c r="H235" s="2"/>
    </row>
    <row r="236" spans="1:8" s="17" customFormat="1">
      <c r="A236" s="26"/>
      <c r="E236" s="2"/>
      <c r="F236" s="2"/>
      <c r="G236" s="2"/>
      <c r="H236" s="2"/>
    </row>
    <row r="237" spans="1:8" s="17" customFormat="1">
      <c r="A237" s="26"/>
      <c r="E237" s="2"/>
      <c r="F237" s="2"/>
      <c r="G237" s="2"/>
      <c r="H237" s="2"/>
    </row>
    <row r="238" spans="1:8" s="17" customFormat="1">
      <c r="A238" s="26"/>
      <c r="E238" s="2"/>
      <c r="F238" s="2"/>
      <c r="G238" s="2"/>
      <c r="H238" s="2"/>
    </row>
    <row r="239" spans="1:8" s="17" customFormat="1">
      <c r="A239" s="26"/>
      <c r="E239" s="2"/>
      <c r="F239" s="2"/>
      <c r="G239" s="2"/>
      <c r="H239" s="2"/>
    </row>
    <row r="240" spans="1:8" s="17" customFormat="1">
      <c r="A240" s="26"/>
      <c r="E240" s="2"/>
      <c r="F240" s="2"/>
      <c r="G240" s="2"/>
      <c r="H240" s="2"/>
    </row>
    <row r="241" spans="1:8" s="17" customFormat="1">
      <c r="A241" s="26"/>
      <c r="E241" s="2"/>
      <c r="F241" s="2"/>
      <c r="G241" s="2"/>
      <c r="H241" s="2"/>
    </row>
    <row r="242" spans="1:8" s="17" customFormat="1">
      <c r="A242" s="26"/>
      <c r="E242" s="2"/>
      <c r="F242" s="2"/>
      <c r="G242" s="2"/>
      <c r="H242" s="2"/>
    </row>
    <row r="243" spans="1:8" s="17" customFormat="1">
      <c r="A243" s="26"/>
      <c r="E243" s="2"/>
      <c r="F243" s="2"/>
      <c r="G243" s="2"/>
      <c r="H243" s="2"/>
    </row>
    <row r="244" spans="1:8" s="17" customFormat="1">
      <c r="A244" s="26"/>
      <c r="E244" s="2"/>
      <c r="F244" s="2"/>
      <c r="G244" s="2"/>
      <c r="H244" s="2"/>
    </row>
    <row r="245" spans="1:8" s="17" customFormat="1">
      <c r="A245" s="26"/>
      <c r="E245" s="2"/>
      <c r="F245" s="2"/>
      <c r="G245" s="2"/>
      <c r="H245" s="2"/>
    </row>
    <row r="246" spans="1:8" s="17" customFormat="1">
      <c r="A246" s="26"/>
      <c r="E246" s="2"/>
      <c r="F246" s="2"/>
      <c r="G246" s="2"/>
      <c r="H246" s="2"/>
    </row>
    <row r="247" spans="1:8" s="17" customFormat="1">
      <c r="A247" s="26"/>
      <c r="E247" s="2"/>
      <c r="F247" s="2"/>
      <c r="G247" s="2"/>
      <c r="H247" s="2"/>
    </row>
    <row r="248" spans="1:8" s="17" customFormat="1">
      <c r="A248" s="26"/>
      <c r="E248" s="2"/>
      <c r="F248" s="2"/>
      <c r="G248" s="2"/>
      <c r="H248" s="2"/>
    </row>
    <row r="249" spans="1:8" s="17" customFormat="1">
      <c r="A249" s="26"/>
      <c r="E249" s="2"/>
      <c r="F249" s="2"/>
      <c r="G249" s="2"/>
      <c r="H249" s="2"/>
    </row>
    <row r="250" spans="1:8" s="17" customFormat="1">
      <c r="A250" s="26"/>
      <c r="E250" s="2"/>
      <c r="F250" s="2"/>
      <c r="G250" s="2"/>
      <c r="H250" s="2"/>
    </row>
    <row r="251" spans="1:8" s="17" customFormat="1">
      <c r="A251" s="26"/>
      <c r="E251" s="2"/>
      <c r="F251" s="2"/>
      <c r="G251" s="2"/>
      <c r="H251" s="2"/>
    </row>
  </sheetData>
  <mergeCells count="19">
    <mergeCell ref="C100:D100"/>
    <mergeCell ref="C99:D99"/>
    <mergeCell ref="A78:H78"/>
    <mergeCell ref="A79:A80"/>
    <mergeCell ref="B79:B80"/>
    <mergeCell ref="F99:H99"/>
    <mergeCell ref="F100:H100"/>
    <mergeCell ref="A44:H44"/>
    <mergeCell ref="C79:D79"/>
    <mergeCell ref="E79:H79"/>
    <mergeCell ref="A2:H2"/>
    <mergeCell ref="A1:H1"/>
    <mergeCell ref="A51:H51"/>
    <mergeCell ref="A69:H69"/>
    <mergeCell ref="A4:A5"/>
    <mergeCell ref="B4:B5"/>
    <mergeCell ref="A7:H7"/>
    <mergeCell ref="E4:H4"/>
    <mergeCell ref="C4:D4"/>
  </mergeCells>
  <phoneticPr fontId="3" type="noConversion"/>
  <pageMargins left="0.70866141732283472" right="0.70866141732283472" top="0.39370078740157483" bottom="0.39370078740157483" header="0.31496062992125984" footer="0.31496062992125984"/>
  <pageSetup paperSize="9" scale="65" orientation="landscape" verticalDpi="300" r:id="rId1"/>
  <headerFooter alignWithMargins="0"/>
  <ignoredErrors>
    <ignoredError sqref="B81:B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K369"/>
  <sheetViews>
    <sheetView view="pageBreakPreview" zoomScale="70" zoomScaleNormal="100" zoomScaleSheetLayoutView="70" workbookViewId="0">
      <selection activeCell="I8" sqref="I8"/>
    </sheetView>
  </sheetViews>
  <sheetFormatPr defaultRowHeight="18.75"/>
  <cols>
    <col min="1" max="1" width="9.140625" style="30"/>
    <col min="2" max="2" width="58.85546875" style="30" customWidth="1"/>
    <col min="3" max="3" width="12" style="254" customWidth="1"/>
    <col min="4" max="4" width="16.140625" style="254" customWidth="1"/>
    <col min="5" max="5" width="16.7109375" style="254" customWidth="1"/>
    <col min="6" max="6" width="16.140625" style="254" customWidth="1"/>
    <col min="7" max="7" width="16.140625" style="30" customWidth="1"/>
    <col min="8" max="8" width="17.5703125" style="30" customWidth="1"/>
    <col min="9" max="9" width="25.42578125" style="30" customWidth="1"/>
    <col min="10" max="10" width="15.28515625" style="30" customWidth="1"/>
    <col min="11" max="11" width="14.7109375" style="30" customWidth="1"/>
    <col min="12" max="16384" width="9.140625" style="30"/>
  </cols>
  <sheetData>
    <row r="2" spans="1:11" ht="20.25">
      <c r="B2" s="288" t="s">
        <v>99</v>
      </c>
      <c r="C2" s="288"/>
      <c r="D2" s="288"/>
      <c r="E2" s="288"/>
      <c r="F2" s="288"/>
    </row>
    <row r="3" spans="1:11">
      <c r="B3" s="67"/>
      <c r="C3" s="253"/>
      <c r="D3" s="67"/>
      <c r="E3" s="67"/>
      <c r="F3" s="67"/>
      <c r="H3" s="30" t="s">
        <v>65</v>
      </c>
    </row>
    <row r="4" spans="1:11" ht="72.75" customHeight="1">
      <c r="A4" s="71" t="s">
        <v>75</v>
      </c>
      <c r="B4" s="71" t="s">
        <v>24</v>
      </c>
      <c r="C4" s="61" t="s">
        <v>5</v>
      </c>
      <c r="D4" s="61" t="s">
        <v>144</v>
      </c>
      <c r="E4" s="61" t="s">
        <v>142</v>
      </c>
      <c r="F4" s="61" t="s">
        <v>143</v>
      </c>
      <c r="G4" s="61" t="s">
        <v>117</v>
      </c>
      <c r="H4" s="61" t="s">
        <v>119</v>
      </c>
    </row>
    <row r="5" spans="1:11" ht="30.75" customHeight="1">
      <c r="A5" s="71">
        <v>1</v>
      </c>
      <c r="B5" s="71">
        <v>2</v>
      </c>
      <c r="C5" s="61">
        <v>3</v>
      </c>
      <c r="D5" s="61">
        <v>4</v>
      </c>
      <c r="E5" s="61">
        <v>5</v>
      </c>
      <c r="F5" s="61">
        <v>6</v>
      </c>
      <c r="G5" s="71">
        <v>7</v>
      </c>
      <c r="H5" s="71">
        <v>8</v>
      </c>
    </row>
    <row r="6" spans="1:11" ht="30.75" customHeight="1">
      <c r="A6" s="291" t="s">
        <v>74</v>
      </c>
      <c r="B6" s="291"/>
      <c r="C6" s="61"/>
      <c r="D6" s="126">
        <f>D7+D12+D27+D29</f>
        <v>29062.1</v>
      </c>
      <c r="E6" s="126">
        <f>E7+E12+E27+E29</f>
        <v>44087</v>
      </c>
      <c r="F6" s="126">
        <f>F7+F12+F27+F29</f>
        <v>45960.800000000003</v>
      </c>
      <c r="G6" s="72">
        <f>F6-E6</f>
        <v>1873.8000000000029</v>
      </c>
      <c r="H6" s="72">
        <f>F6/E6*100</f>
        <v>104.25023249483975</v>
      </c>
    </row>
    <row r="7" spans="1:11" ht="54.75" customHeight="1">
      <c r="A7" s="292" t="s">
        <v>73</v>
      </c>
      <c r="B7" s="292"/>
      <c r="C7" s="53">
        <v>1000</v>
      </c>
      <c r="D7" s="27">
        <f>SUM(D8:D11)</f>
        <v>7940.0999999999995</v>
      </c>
      <c r="E7" s="27">
        <f t="shared" ref="E7:F7" si="0">SUM(E8:E11)</f>
        <v>35702.800000000003</v>
      </c>
      <c r="F7" s="27">
        <f t="shared" si="0"/>
        <v>33642.400000000001</v>
      </c>
      <c r="G7" s="72">
        <f t="shared" ref="G7:G132" si="1">F7-E7</f>
        <v>-2060.4000000000015</v>
      </c>
      <c r="H7" s="72">
        <f t="shared" ref="H7:H28" si="2">F7/E7*100</f>
        <v>94.229024054135806</v>
      </c>
    </row>
    <row r="8" spans="1:11" ht="39.75" customHeight="1">
      <c r="A8" s="48">
        <v>1</v>
      </c>
      <c r="B8" s="47" t="s">
        <v>258</v>
      </c>
      <c r="C8" s="53"/>
      <c r="D8" s="28">
        <v>7745.2</v>
      </c>
      <c r="E8" s="28">
        <v>34707.9</v>
      </c>
      <c r="F8" s="28">
        <v>32690.1</v>
      </c>
      <c r="G8" s="63">
        <f t="shared" si="1"/>
        <v>-2017.8000000000029</v>
      </c>
      <c r="H8" s="63">
        <f t="shared" si="2"/>
        <v>94.186337980690269</v>
      </c>
    </row>
    <row r="9" spans="1:11" ht="26.25" customHeight="1">
      <c r="A9" s="48">
        <v>2</v>
      </c>
      <c r="B9" s="47" t="s">
        <v>259</v>
      </c>
      <c r="C9" s="53"/>
      <c r="D9" s="28">
        <v>194.9</v>
      </c>
      <c r="E9" s="28">
        <v>540.5</v>
      </c>
      <c r="F9" s="28">
        <v>526.79999999999995</v>
      </c>
      <c r="G9" s="63">
        <f t="shared" si="1"/>
        <v>-13.700000000000045</v>
      </c>
      <c r="H9" s="63">
        <f t="shared" si="2"/>
        <v>97.465309898242353</v>
      </c>
    </row>
    <row r="10" spans="1:11" ht="24.75" customHeight="1">
      <c r="A10" s="48">
        <v>3</v>
      </c>
      <c r="B10" s="47" t="s">
        <v>260</v>
      </c>
      <c r="C10" s="53"/>
      <c r="D10" s="28"/>
      <c r="E10" s="28">
        <v>202</v>
      </c>
      <c r="F10" s="28">
        <v>206.6</v>
      </c>
      <c r="G10" s="63">
        <f t="shared" si="1"/>
        <v>4.5999999999999943</v>
      </c>
      <c r="H10" s="63">
        <f t="shared" si="2"/>
        <v>102.27722772277228</v>
      </c>
    </row>
    <row r="11" spans="1:11" ht="63" customHeight="1">
      <c r="A11" s="48">
        <v>4</v>
      </c>
      <c r="B11" s="47" t="s">
        <v>261</v>
      </c>
      <c r="C11" s="61"/>
      <c r="D11" s="28"/>
      <c r="E11" s="28">
        <v>252.4</v>
      </c>
      <c r="F11" s="28">
        <v>218.9</v>
      </c>
      <c r="G11" s="63">
        <f t="shared" si="1"/>
        <v>-33.5</v>
      </c>
      <c r="H11" s="63">
        <f t="shared" si="2"/>
        <v>86.727416798732165</v>
      </c>
    </row>
    <row r="12" spans="1:11" ht="30.75" customHeight="1">
      <c r="A12" s="293" t="s">
        <v>36</v>
      </c>
      <c r="B12" s="293"/>
      <c r="C12" s="53">
        <v>1040</v>
      </c>
      <c r="D12" s="27">
        <f>SUM(D13:D26)</f>
        <v>20406</v>
      </c>
      <c r="E12" s="27">
        <f>SUM(E13:E26)</f>
        <v>8366.5999999999985</v>
      </c>
      <c r="F12" s="27">
        <f>SUM(F13:F26)</f>
        <v>11165.499999999998</v>
      </c>
      <c r="G12" s="72">
        <f t="shared" si="1"/>
        <v>2798.8999999999996</v>
      </c>
      <c r="H12" s="72">
        <f t="shared" si="2"/>
        <v>133.45325460760645</v>
      </c>
    </row>
    <row r="13" spans="1:11" ht="27" customHeight="1">
      <c r="A13" s="50">
        <v>1</v>
      </c>
      <c r="B13" s="47" t="s">
        <v>262</v>
      </c>
      <c r="C13" s="53"/>
      <c r="D13" s="28">
        <v>12722</v>
      </c>
      <c r="E13" s="28"/>
      <c r="F13" s="28"/>
      <c r="G13" s="63">
        <f t="shared" si="1"/>
        <v>0</v>
      </c>
      <c r="H13" s="63"/>
    </row>
    <row r="14" spans="1:11" ht="40.5" customHeight="1">
      <c r="A14" s="50">
        <v>2</v>
      </c>
      <c r="B14" s="47" t="s">
        <v>359</v>
      </c>
      <c r="C14" s="53"/>
      <c r="D14" s="28"/>
      <c r="E14" s="28"/>
      <c r="F14" s="28">
        <v>131.5</v>
      </c>
      <c r="G14" s="63">
        <f t="shared" si="1"/>
        <v>131.5</v>
      </c>
      <c r="H14" s="63"/>
      <c r="K14" s="30" t="s">
        <v>443</v>
      </c>
    </row>
    <row r="15" spans="1:11" ht="45.75" customHeight="1">
      <c r="A15" s="50">
        <v>3</v>
      </c>
      <c r="B15" s="47" t="s">
        <v>263</v>
      </c>
      <c r="C15" s="53"/>
      <c r="D15" s="28"/>
      <c r="E15" s="28">
        <v>35.799999999999997</v>
      </c>
      <c r="F15" s="28">
        <v>29.8</v>
      </c>
      <c r="G15" s="63">
        <f t="shared" si="1"/>
        <v>-5.9999999999999964</v>
      </c>
      <c r="H15" s="63">
        <f t="shared" si="2"/>
        <v>83.240223463687158</v>
      </c>
    </row>
    <row r="16" spans="1:11" ht="27.75" customHeight="1">
      <c r="A16" s="48">
        <v>4</v>
      </c>
      <c r="B16" s="47" t="s">
        <v>264</v>
      </c>
      <c r="C16" s="53"/>
      <c r="D16" s="28">
        <v>5399</v>
      </c>
      <c r="E16" s="28">
        <v>8314.2999999999993</v>
      </c>
      <c r="F16" s="28">
        <v>8314.2999999999993</v>
      </c>
      <c r="G16" s="63">
        <f t="shared" si="1"/>
        <v>0</v>
      </c>
      <c r="H16" s="63">
        <f t="shared" si="2"/>
        <v>100</v>
      </c>
    </row>
    <row r="17" spans="1:8" ht="39.75" customHeight="1">
      <c r="A17" s="48">
        <v>5</v>
      </c>
      <c r="B17" s="47" t="s">
        <v>372</v>
      </c>
      <c r="C17" s="53"/>
      <c r="D17" s="28"/>
      <c r="E17" s="28"/>
      <c r="F17" s="28">
        <v>1229.7</v>
      </c>
      <c r="G17" s="63">
        <f t="shared" si="1"/>
        <v>1229.7</v>
      </c>
      <c r="H17" s="63"/>
    </row>
    <row r="18" spans="1:8" ht="59.25" customHeight="1">
      <c r="A18" s="48">
        <v>6</v>
      </c>
      <c r="B18" s="47" t="s">
        <v>265</v>
      </c>
      <c r="C18" s="53"/>
      <c r="D18" s="28">
        <v>381.1</v>
      </c>
      <c r="E18" s="28"/>
      <c r="F18" s="28">
        <v>0</v>
      </c>
      <c r="G18" s="63">
        <f t="shared" si="1"/>
        <v>0</v>
      </c>
      <c r="H18" s="63"/>
    </row>
    <row r="19" spans="1:8" ht="45.75" customHeight="1">
      <c r="A19" s="48">
        <v>7</v>
      </c>
      <c r="B19" s="47" t="s">
        <v>266</v>
      </c>
      <c r="C19" s="53"/>
      <c r="D19" s="28">
        <v>1.4</v>
      </c>
      <c r="E19" s="28">
        <v>1.8</v>
      </c>
      <c r="F19" s="28"/>
      <c r="G19" s="63">
        <f t="shared" si="1"/>
        <v>-1.8</v>
      </c>
      <c r="H19" s="63">
        <f t="shared" si="2"/>
        <v>0</v>
      </c>
    </row>
    <row r="20" spans="1:8" ht="24.75" customHeight="1">
      <c r="A20" s="48">
        <v>8</v>
      </c>
      <c r="B20" s="47" t="s">
        <v>260</v>
      </c>
      <c r="C20" s="53"/>
      <c r="D20" s="28">
        <v>293.8</v>
      </c>
      <c r="E20" s="28"/>
      <c r="F20" s="28">
        <v>0</v>
      </c>
      <c r="G20" s="63">
        <f t="shared" si="1"/>
        <v>0</v>
      </c>
      <c r="H20" s="63"/>
    </row>
    <row r="21" spans="1:8" ht="21" customHeight="1">
      <c r="A21" s="48">
        <v>9</v>
      </c>
      <c r="B21" s="47" t="s">
        <v>267</v>
      </c>
      <c r="C21" s="53"/>
      <c r="D21" s="28">
        <v>19.399999999999999</v>
      </c>
      <c r="E21" s="28">
        <v>14.7</v>
      </c>
      <c r="F21" s="28"/>
      <c r="G21" s="63">
        <f t="shared" si="1"/>
        <v>-14.7</v>
      </c>
      <c r="H21" s="63">
        <f t="shared" si="2"/>
        <v>0</v>
      </c>
    </row>
    <row r="22" spans="1:8" ht="40.5" customHeight="1">
      <c r="A22" s="48">
        <v>10</v>
      </c>
      <c r="B22" s="47" t="s">
        <v>268</v>
      </c>
      <c r="C22" s="53"/>
      <c r="D22" s="28">
        <v>3</v>
      </c>
      <c r="E22" s="28"/>
      <c r="F22" s="28"/>
      <c r="G22" s="63">
        <f t="shared" si="1"/>
        <v>0</v>
      </c>
      <c r="H22" s="63"/>
    </row>
    <row r="23" spans="1:8" ht="25.5" customHeight="1">
      <c r="A23" s="48">
        <v>11</v>
      </c>
      <c r="B23" s="47" t="s">
        <v>269</v>
      </c>
      <c r="C23" s="53"/>
      <c r="D23" s="28">
        <v>1565.3</v>
      </c>
      <c r="E23" s="28"/>
      <c r="F23" s="28">
        <v>91.9</v>
      </c>
      <c r="G23" s="63">
        <f t="shared" si="1"/>
        <v>91.9</v>
      </c>
      <c r="H23" s="63"/>
    </row>
    <row r="24" spans="1:8" ht="24" customHeight="1">
      <c r="A24" s="48">
        <v>12</v>
      </c>
      <c r="B24" s="47" t="s">
        <v>270</v>
      </c>
      <c r="C24" s="53"/>
      <c r="D24" s="28"/>
      <c r="E24" s="28"/>
      <c r="F24" s="28">
        <v>1367.9</v>
      </c>
      <c r="G24" s="63">
        <f t="shared" si="1"/>
        <v>1367.9</v>
      </c>
      <c r="H24" s="63"/>
    </row>
    <row r="25" spans="1:8" ht="42" customHeight="1">
      <c r="A25" s="48">
        <v>13</v>
      </c>
      <c r="B25" s="47" t="s">
        <v>360</v>
      </c>
      <c r="C25" s="53"/>
      <c r="D25" s="28"/>
      <c r="E25" s="28"/>
      <c r="F25" s="28">
        <v>0.4</v>
      </c>
      <c r="G25" s="63">
        <f t="shared" si="1"/>
        <v>0.4</v>
      </c>
      <c r="H25" s="63"/>
    </row>
    <row r="26" spans="1:8" ht="38.25" customHeight="1">
      <c r="A26" s="48">
        <v>14</v>
      </c>
      <c r="B26" s="47" t="s">
        <v>271</v>
      </c>
      <c r="C26" s="53"/>
      <c r="D26" s="28">
        <v>21</v>
      </c>
      <c r="E26" s="28"/>
      <c r="F26" s="28"/>
      <c r="G26" s="72">
        <f t="shared" si="1"/>
        <v>0</v>
      </c>
      <c r="H26" s="63"/>
    </row>
    <row r="27" spans="1:8" ht="30.75" customHeight="1">
      <c r="A27" s="293" t="s">
        <v>76</v>
      </c>
      <c r="B27" s="293"/>
      <c r="C27" s="53">
        <v>1130</v>
      </c>
      <c r="D27" s="27">
        <f>D28</f>
        <v>13</v>
      </c>
      <c r="E27" s="27">
        <f>E28</f>
        <v>17.600000000000001</v>
      </c>
      <c r="F27" s="27">
        <f>F28</f>
        <v>18.399999999999999</v>
      </c>
      <c r="G27" s="72">
        <f t="shared" si="1"/>
        <v>0.79999999999999716</v>
      </c>
      <c r="H27" s="72">
        <f t="shared" si="2"/>
        <v>104.54545454545452</v>
      </c>
    </row>
    <row r="28" spans="1:8" ht="42.75" customHeight="1">
      <c r="A28" s="48">
        <v>1</v>
      </c>
      <c r="B28" s="52" t="s">
        <v>272</v>
      </c>
      <c r="C28" s="61"/>
      <c r="D28" s="28">
        <v>13</v>
      </c>
      <c r="E28" s="28">
        <v>17.600000000000001</v>
      </c>
      <c r="F28" s="28">
        <v>18.399999999999999</v>
      </c>
      <c r="G28" s="63">
        <f t="shared" si="1"/>
        <v>0.79999999999999716</v>
      </c>
      <c r="H28" s="63">
        <f t="shared" si="2"/>
        <v>104.54545454545452</v>
      </c>
    </row>
    <row r="29" spans="1:8" ht="30.75" customHeight="1">
      <c r="A29" s="293" t="s">
        <v>28</v>
      </c>
      <c r="B29" s="293"/>
      <c r="C29" s="53">
        <v>1150</v>
      </c>
      <c r="D29" s="27">
        <f>SUM(D30:D30)</f>
        <v>703</v>
      </c>
      <c r="E29" s="27">
        <f>SUM(E30:E30)</f>
        <v>0</v>
      </c>
      <c r="F29" s="27">
        <f>SUM(F30:F32)</f>
        <v>1134.5</v>
      </c>
      <c r="G29" s="72">
        <f t="shared" si="1"/>
        <v>1134.5</v>
      </c>
      <c r="H29" s="63"/>
    </row>
    <row r="30" spans="1:8" ht="39" customHeight="1">
      <c r="A30" s="48">
        <v>1</v>
      </c>
      <c r="B30" s="47" t="s">
        <v>257</v>
      </c>
      <c r="C30" s="53"/>
      <c r="D30" s="28">
        <v>703</v>
      </c>
      <c r="E30" s="28"/>
      <c r="F30" s="28">
        <v>1118.8</v>
      </c>
      <c r="G30" s="63">
        <f t="shared" si="1"/>
        <v>1118.8</v>
      </c>
      <c r="H30" s="63"/>
    </row>
    <row r="31" spans="1:8" ht="39" customHeight="1">
      <c r="A31" s="48">
        <v>3</v>
      </c>
      <c r="B31" s="47" t="s">
        <v>266</v>
      </c>
      <c r="C31" s="53"/>
      <c r="D31" s="28"/>
      <c r="E31" s="28"/>
      <c r="F31" s="28">
        <v>1.2</v>
      </c>
      <c r="G31" s="63"/>
      <c r="H31" s="63"/>
    </row>
    <row r="32" spans="1:8" ht="32.25" customHeight="1">
      <c r="A32" s="48">
        <v>4</v>
      </c>
      <c r="B32" s="47" t="s">
        <v>512</v>
      </c>
      <c r="C32" s="53"/>
      <c r="D32" s="28"/>
      <c r="E32" s="28"/>
      <c r="F32" s="28">
        <v>14.5</v>
      </c>
      <c r="G32" s="63"/>
      <c r="H32" s="63"/>
    </row>
    <row r="33" spans="1:8" ht="35.25" customHeight="1">
      <c r="A33" s="291" t="s">
        <v>77</v>
      </c>
      <c r="B33" s="291"/>
      <c r="C33" s="53"/>
      <c r="D33" s="27"/>
      <c r="E33" s="27"/>
      <c r="F33" s="27"/>
      <c r="G33" s="72"/>
      <c r="H33" s="72"/>
    </row>
    <row r="34" spans="1:8" ht="48" customHeight="1">
      <c r="A34" s="292" t="s">
        <v>389</v>
      </c>
      <c r="B34" s="292"/>
      <c r="C34" s="61"/>
      <c r="D34" s="27"/>
      <c r="E34" s="27"/>
      <c r="F34" s="27"/>
      <c r="G34" s="72"/>
      <c r="H34" s="72"/>
    </row>
    <row r="35" spans="1:8" ht="34.5" customHeight="1">
      <c r="A35" s="292" t="s">
        <v>109</v>
      </c>
      <c r="B35" s="292"/>
      <c r="C35" s="53">
        <v>1011</v>
      </c>
      <c r="D35" s="27">
        <f>SUM(D36:D53)</f>
        <v>4296</v>
      </c>
      <c r="E35" s="27">
        <f>SUM(E36:E53)</f>
        <v>4698.3999999999996</v>
      </c>
      <c r="F35" s="27">
        <f>SUM(F36:F53)</f>
        <v>8638.8000000000011</v>
      </c>
      <c r="G35" s="72">
        <f t="shared" si="1"/>
        <v>3940.4000000000015</v>
      </c>
      <c r="H35" s="72">
        <f t="shared" ref="H35:H132" si="3">(F35/E35)*100</f>
        <v>183.86684828877918</v>
      </c>
    </row>
    <row r="36" spans="1:8" ht="40.5" customHeight="1">
      <c r="A36" s="53"/>
      <c r="B36" s="47" t="s">
        <v>238</v>
      </c>
      <c r="C36" s="53"/>
      <c r="D36" s="28">
        <v>109.7</v>
      </c>
      <c r="E36" s="28">
        <v>405.1</v>
      </c>
      <c r="F36" s="28">
        <v>187.6</v>
      </c>
      <c r="G36" s="63">
        <f t="shared" si="1"/>
        <v>-217.50000000000003</v>
      </c>
      <c r="H36" s="63">
        <f t="shared" si="3"/>
        <v>46.30955319674154</v>
      </c>
    </row>
    <row r="37" spans="1:8" ht="23.25" customHeight="1">
      <c r="A37" s="53"/>
      <c r="B37" s="47" t="s">
        <v>239</v>
      </c>
      <c r="C37" s="53"/>
      <c r="D37" s="28">
        <v>1021</v>
      </c>
      <c r="E37" s="28">
        <v>1922.4</v>
      </c>
      <c r="F37" s="28">
        <v>2390.1999999999998</v>
      </c>
      <c r="G37" s="63">
        <f t="shared" si="1"/>
        <v>467.79999999999973</v>
      </c>
      <c r="H37" s="63">
        <f t="shared" si="3"/>
        <v>124.33416562630045</v>
      </c>
    </row>
    <row r="38" spans="1:8">
      <c r="A38" s="53"/>
      <c r="B38" s="52" t="s">
        <v>240</v>
      </c>
      <c r="C38" s="53"/>
      <c r="D38" s="28">
        <v>266.7</v>
      </c>
      <c r="E38" s="28">
        <v>905.7</v>
      </c>
      <c r="F38" s="28">
        <v>1665.7</v>
      </c>
      <c r="G38" s="63">
        <f t="shared" si="1"/>
        <v>760</v>
      </c>
      <c r="H38" s="63">
        <f t="shared" si="3"/>
        <v>183.91299547311471</v>
      </c>
    </row>
    <row r="39" spans="1:8">
      <c r="A39" s="53"/>
      <c r="B39" s="52" t="s">
        <v>273</v>
      </c>
      <c r="C39" s="53"/>
      <c r="D39" s="28">
        <v>1676</v>
      </c>
      <c r="E39" s="28">
        <v>678.2</v>
      </c>
      <c r="F39" s="28">
        <v>3551.1</v>
      </c>
      <c r="G39" s="63">
        <f t="shared" si="1"/>
        <v>2872.8999999999996</v>
      </c>
      <c r="H39" s="63">
        <f t="shared" si="3"/>
        <v>523.6066057210262</v>
      </c>
    </row>
    <row r="40" spans="1:8">
      <c r="A40" s="53"/>
      <c r="B40" s="52" t="s">
        <v>289</v>
      </c>
      <c r="C40" s="53"/>
      <c r="D40" s="28">
        <v>637.79999999999995</v>
      </c>
      <c r="E40" s="28"/>
      <c r="F40" s="28"/>
      <c r="G40" s="63">
        <f t="shared" si="1"/>
        <v>0</v>
      </c>
      <c r="H40" s="63"/>
    </row>
    <row r="41" spans="1:8">
      <c r="A41" s="53"/>
      <c r="B41" s="47" t="s">
        <v>278</v>
      </c>
      <c r="C41" s="53"/>
      <c r="D41" s="28">
        <v>99.2</v>
      </c>
      <c r="E41" s="28"/>
      <c r="F41" s="28">
        <v>41</v>
      </c>
      <c r="G41" s="63">
        <f t="shared" si="1"/>
        <v>41</v>
      </c>
      <c r="H41" s="63"/>
    </row>
    <row r="42" spans="1:8">
      <c r="A42" s="53"/>
      <c r="B42" s="47" t="s">
        <v>347</v>
      </c>
      <c r="C42" s="53"/>
      <c r="D42" s="28">
        <v>50.5</v>
      </c>
      <c r="E42" s="28"/>
      <c r="F42" s="28">
        <v>162.30000000000001</v>
      </c>
      <c r="G42" s="63">
        <f t="shared" si="1"/>
        <v>162.30000000000001</v>
      </c>
      <c r="H42" s="63"/>
    </row>
    <row r="43" spans="1:8">
      <c r="A43" s="53"/>
      <c r="B43" s="47" t="s">
        <v>148</v>
      </c>
      <c r="C43" s="53"/>
      <c r="D43" s="28">
        <v>180.5</v>
      </c>
      <c r="E43" s="28">
        <v>107.9</v>
      </c>
      <c r="F43" s="28">
        <v>219.9</v>
      </c>
      <c r="G43" s="63">
        <f t="shared" si="1"/>
        <v>112</v>
      </c>
      <c r="H43" s="63">
        <f t="shared" si="3"/>
        <v>203.79981464318811</v>
      </c>
    </row>
    <row r="44" spans="1:8">
      <c r="A44" s="53"/>
      <c r="B44" s="52" t="s">
        <v>149</v>
      </c>
      <c r="C44" s="53"/>
      <c r="D44" s="28"/>
      <c r="E44" s="28">
        <v>90.6</v>
      </c>
      <c r="F44" s="28">
        <v>95.1</v>
      </c>
      <c r="G44" s="63">
        <f t="shared" si="1"/>
        <v>4.5</v>
      </c>
      <c r="H44" s="63">
        <f t="shared" si="3"/>
        <v>104.96688741721853</v>
      </c>
    </row>
    <row r="45" spans="1:8" ht="37.5">
      <c r="A45" s="53"/>
      <c r="B45" s="52" t="s">
        <v>207</v>
      </c>
      <c r="C45" s="53"/>
      <c r="D45" s="28"/>
      <c r="E45" s="28">
        <v>39.200000000000003</v>
      </c>
      <c r="F45" s="28">
        <v>52.4</v>
      </c>
      <c r="G45" s="63">
        <f t="shared" si="1"/>
        <v>13.199999999999996</v>
      </c>
      <c r="H45" s="63">
        <f t="shared" si="3"/>
        <v>133.67346938775509</v>
      </c>
    </row>
    <row r="46" spans="1:8" ht="56.25">
      <c r="A46" s="53"/>
      <c r="B46" s="47" t="s">
        <v>336</v>
      </c>
      <c r="C46" s="53"/>
      <c r="D46" s="28">
        <v>206.8</v>
      </c>
      <c r="E46" s="28">
        <v>146.19999999999999</v>
      </c>
      <c r="F46" s="28">
        <v>129.69999999999999</v>
      </c>
      <c r="G46" s="63">
        <f t="shared" si="1"/>
        <v>-16.5</v>
      </c>
      <c r="H46" s="63">
        <f t="shared" si="3"/>
        <v>88.714090287277699</v>
      </c>
    </row>
    <row r="47" spans="1:8" ht="77.25" customHeight="1">
      <c r="A47" s="53"/>
      <c r="B47" s="47" t="s">
        <v>208</v>
      </c>
      <c r="C47" s="53"/>
      <c r="D47" s="28">
        <v>9.3000000000000007</v>
      </c>
      <c r="E47" s="28">
        <v>16</v>
      </c>
      <c r="F47" s="28"/>
      <c r="G47" s="63">
        <f t="shared" si="1"/>
        <v>-16</v>
      </c>
      <c r="H47" s="63">
        <f t="shared" si="3"/>
        <v>0</v>
      </c>
    </row>
    <row r="48" spans="1:8" ht="24.75" customHeight="1">
      <c r="A48" s="53"/>
      <c r="B48" s="47" t="s">
        <v>178</v>
      </c>
      <c r="C48" s="53"/>
      <c r="D48" s="28">
        <v>37.1</v>
      </c>
      <c r="E48" s="28">
        <v>15.6</v>
      </c>
      <c r="F48" s="28">
        <v>24</v>
      </c>
      <c r="G48" s="63">
        <f t="shared" si="1"/>
        <v>8.4</v>
      </c>
      <c r="H48" s="63">
        <f t="shared" si="3"/>
        <v>153.84615384615387</v>
      </c>
    </row>
    <row r="49" spans="1:8">
      <c r="A49" s="53"/>
      <c r="B49" s="47" t="s">
        <v>346</v>
      </c>
      <c r="C49" s="53"/>
      <c r="D49" s="28">
        <v>1.4</v>
      </c>
      <c r="E49" s="28"/>
      <c r="F49" s="28"/>
      <c r="G49" s="63">
        <f t="shared" si="1"/>
        <v>0</v>
      </c>
      <c r="H49" s="63"/>
    </row>
    <row r="50" spans="1:8" ht="59.25" customHeight="1">
      <c r="A50" s="53"/>
      <c r="B50" s="47" t="s">
        <v>337</v>
      </c>
      <c r="C50" s="53"/>
      <c r="D50" s="28"/>
      <c r="E50" s="28">
        <v>72.5</v>
      </c>
      <c r="F50" s="28">
        <v>119.8</v>
      </c>
      <c r="G50" s="63">
        <f t="shared" si="1"/>
        <v>47.3</v>
      </c>
      <c r="H50" s="63">
        <f t="shared" si="3"/>
        <v>165.24137931034483</v>
      </c>
    </row>
    <row r="51" spans="1:8">
      <c r="A51" s="53"/>
      <c r="B51" s="52" t="s">
        <v>151</v>
      </c>
      <c r="C51" s="53"/>
      <c r="D51" s="28"/>
      <c r="E51" s="28">
        <v>182.4</v>
      </c>
      <c r="F51" s="28"/>
      <c r="G51" s="63">
        <f t="shared" si="1"/>
        <v>-182.4</v>
      </c>
      <c r="H51" s="63">
        <f t="shared" si="3"/>
        <v>0</v>
      </c>
    </row>
    <row r="52" spans="1:8" ht="24.75" customHeight="1">
      <c r="A52" s="53"/>
      <c r="B52" s="52" t="s">
        <v>180</v>
      </c>
      <c r="C52" s="53"/>
      <c r="D52" s="28"/>
      <c r="E52" s="28">
        <v>81</v>
      </c>
      <c r="F52" s="28"/>
      <c r="G52" s="63">
        <f t="shared" si="1"/>
        <v>-81</v>
      </c>
      <c r="H52" s="63">
        <f t="shared" si="3"/>
        <v>0</v>
      </c>
    </row>
    <row r="53" spans="1:8" ht="20.25" customHeight="1">
      <c r="A53" s="53"/>
      <c r="B53" s="52" t="s">
        <v>181</v>
      </c>
      <c r="C53" s="53"/>
      <c r="D53" s="28"/>
      <c r="E53" s="28">
        <v>35.6</v>
      </c>
      <c r="F53" s="28"/>
      <c r="G53" s="63">
        <f t="shared" si="1"/>
        <v>-35.6</v>
      </c>
      <c r="H53" s="63">
        <f t="shared" si="3"/>
        <v>0</v>
      </c>
    </row>
    <row r="54" spans="1:8" ht="27.75" customHeight="1">
      <c r="A54" s="292" t="s">
        <v>78</v>
      </c>
      <c r="B54" s="292"/>
      <c r="C54" s="53">
        <v>1015</v>
      </c>
      <c r="D54" s="27">
        <f>SUM(D55:D84)</f>
        <v>3000.7000000000003</v>
      </c>
      <c r="E54" s="27">
        <v>3379.9</v>
      </c>
      <c r="F54" s="27">
        <f>SUM(F55:F85)</f>
        <v>3441.3</v>
      </c>
      <c r="G54" s="72">
        <f t="shared" si="1"/>
        <v>61.400000000000091</v>
      </c>
      <c r="H54" s="72">
        <f t="shared" si="3"/>
        <v>101.81662179354419</v>
      </c>
    </row>
    <row r="55" spans="1:8">
      <c r="A55" s="59"/>
      <c r="B55" s="60" t="s">
        <v>348</v>
      </c>
      <c r="C55" s="53"/>
      <c r="D55" s="28">
        <v>104.6</v>
      </c>
      <c r="E55" s="28"/>
      <c r="F55" s="28"/>
      <c r="G55" s="63">
        <f t="shared" si="1"/>
        <v>0</v>
      </c>
      <c r="H55" s="63"/>
    </row>
    <row r="56" spans="1:8">
      <c r="A56" s="64"/>
      <c r="B56" s="49" t="s">
        <v>157</v>
      </c>
      <c r="C56" s="53"/>
      <c r="D56" s="28"/>
      <c r="E56" s="28">
        <v>28.9</v>
      </c>
      <c r="F56" s="28">
        <v>23.2</v>
      </c>
      <c r="G56" s="63">
        <f t="shared" si="1"/>
        <v>-5.6999999999999993</v>
      </c>
      <c r="H56" s="63">
        <f t="shared" si="3"/>
        <v>80.27681660899654</v>
      </c>
    </row>
    <row r="57" spans="1:8">
      <c r="A57" s="64"/>
      <c r="B57" s="47" t="s">
        <v>158</v>
      </c>
      <c r="C57" s="53"/>
      <c r="D57" s="28"/>
      <c r="E57" s="28">
        <v>89.4</v>
      </c>
      <c r="F57" s="28">
        <v>114.6</v>
      </c>
      <c r="G57" s="63">
        <f t="shared" si="1"/>
        <v>25.199999999999989</v>
      </c>
      <c r="H57" s="63">
        <f t="shared" si="3"/>
        <v>128.18791946308724</v>
      </c>
    </row>
    <row r="58" spans="1:8">
      <c r="A58" s="64"/>
      <c r="B58" s="47" t="s">
        <v>159</v>
      </c>
      <c r="C58" s="53"/>
      <c r="D58" s="28"/>
      <c r="E58" s="28">
        <v>23.7</v>
      </c>
      <c r="F58" s="28">
        <v>23.8</v>
      </c>
      <c r="G58" s="63">
        <f t="shared" si="1"/>
        <v>0.10000000000000142</v>
      </c>
      <c r="H58" s="63">
        <f t="shared" si="3"/>
        <v>100.42194092827006</v>
      </c>
    </row>
    <row r="59" spans="1:8">
      <c r="A59" s="64"/>
      <c r="B59" s="47" t="s">
        <v>160</v>
      </c>
      <c r="C59" s="53"/>
      <c r="D59" s="28"/>
      <c r="E59" s="28">
        <v>13.5</v>
      </c>
      <c r="F59" s="28">
        <v>18</v>
      </c>
      <c r="G59" s="63">
        <f t="shared" si="1"/>
        <v>4.5</v>
      </c>
      <c r="H59" s="63">
        <f t="shared" si="3"/>
        <v>133.33333333333331</v>
      </c>
    </row>
    <row r="60" spans="1:8">
      <c r="A60" s="64"/>
      <c r="B60" s="47" t="s">
        <v>161</v>
      </c>
      <c r="C60" s="53"/>
      <c r="D60" s="28"/>
      <c r="E60" s="28">
        <v>146.9</v>
      </c>
      <c r="F60" s="28">
        <v>137</v>
      </c>
      <c r="G60" s="63">
        <f t="shared" si="1"/>
        <v>-9.9000000000000057</v>
      </c>
      <c r="H60" s="63">
        <f t="shared" si="3"/>
        <v>93.260721579305653</v>
      </c>
    </row>
    <row r="61" spans="1:8" ht="35.25" customHeight="1">
      <c r="A61" s="64"/>
      <c r="B61" s="49" t="s">
        <v>162</v>
      </c>
      <c r="C61" s="53"/>
      <c r="D61" s="28">
        <v>231</v>
      </c>
      <c r="E61" s="28">
        <v>186.8</v>
      </c>
      <c r="F61" s="28">
        <v>71.5</v>
      </c>
      <c r="G61" s="63">
        <f t="shared" si="1"/>
        <v>-115.30000000000001</v>
      </c>
      <c r="H61" s="63">
        <f t="shared" si="3"/>
        <v>38.276231263383295</v>
      </c>
    </row>
    <row r="62" spans="1:8">
      <c r="A62" s="64"/>
      <c r="B62" s="49" t="s">
        <v>163</v>
      </c>
      <c r="C62" s="53"/>
      <c r="D62" s="28"/>
      <c r="E62" s="28">
        <v>59.1</v>
      </c>
      <c r="F62" s="28">
        <v>23.5</v>
      </c>
      <c r="G62" s="63">
        <f t="shared" si="1"/>
        <v>-35.6</v>
      </c>
      <c r="H62" s="63">
        <f t="shared" si="3"/>
        <v>39.763113367174277</v>
      </c>
    </row>
    <row r="63" spans="1:8">
      <c r="A63" s="64"/>
      <c r="B63" s="49" t="s">
        <v>182</v>
      </c>
      <c r="C63" s="53"/>
      <c r="D63" s="28"/>
      <c r="E63" s="28">
        <v>1.6</v>
      </c>
      <c r="F63" s="28">
        <v>1.7</v>
      </c>
      <c r="G63" s="63">
        <f t="shared" si="1"/>
        <v>9.9999999999999867E-2</v>
      </c>
      <c r="H63" s="63">
        <f t="shared" si="3"/>
        <v>106.25</v>
      </c>
    </row>
    <row r="64" spans="1:8">
      <c r="A64" s="64"/>
      <c r="B64" s="47" t="s">
        <v>221</v>
      </c>
      <c r="C64" s="53"/>
      <c r="D64" s="28"/>
      <c r="E64" s="28"/>
      <c r="F64" s="28">
        <v>2.6</v>
      </c>
      <c r="G64" s="63">
        <f t="shared" si="1"/>
        <v>2.6</v>
      </c>
      <c r="H64" s="63"/>
    </row>
    <row r="65" spans="1:8" ht="41.25" customHeight="1">
      <c r="A65" s="64"/>
      <c r="B65" s="49" t="s">
        <v>183</v>
      </c>
      <c r="C65" s="53"/>
      <c r="D65" s="28"/>
      <c r="E65" s="28">
        <v>1.5</v>
      </c>
      <c r="F65" s="28">
        <v>54.5</v>
      </c>
      <c r="G65" s="63">
        <f t="shared" si="1"/>
        <v>53</v>
      </c>
      <c r="H65" s="63">
        <f t="shared" si="3"/>
        <v>3633.3333333333335</v>
      </c>
    </row>
    <row r="66" spans="1:8">
      <c r="A66" s="64"/>
      <c r="B66" s="49" t="s">
        <v>339</v>
      </c>
      <c r="C66" s="53"/>
      <c r="D66" s="28"/>
      <c r="E66" s="28">
        <v>5.4</v>
      </c>
      <c r="F66" s="28">
        <v>7.2</v>
      </c>
      <c r="G66" s="63">
        <f t="shared" si="1"/>
        <v>1.7999999999999998</v>
      </c>
      <c r="H66" s="63">
        <f t="shared" si="3"/>
        <v>133.33333333333331</v>
      </c>
    </row>
    <row r="67" spans="1:8">
      <c r="A67" s="64"/>
      <c r="B67" s="49" t="s">
        <v>212</v>
      </c>
      <c r="C67" s="53"/>
      <c r="D67" s="28"/>
      <c r="E67" s="28">
        <v>1.7</v>
      </c>
      <c r="F67" s="28"/>
      <c r="G67" s="63">
        <f t="shared" si="1"/>
        <v>-1.7</v>
      </c>
      <c r="H67" s="63">
        <f t="shared" si="3"/>
        <v>0</v>
      </c>
    </row>
    <row r="68" spans="1:8">
      <c r="A68" s="64"/>
      <c r="B68" s="47" t="s">
        <v>340</v>
      </c>
      <c r="C68" s="53"/>
      <c r="D68" s="28">
        <v>27.2</v>
      </c>
      <c r="E68" s="28">
        <v>59.8</v>
      </c>
      <c r="F68" s="28">
        <v>41.8</v>
      </c>
      <c r="G68" s="63">
        <f t="shared" si="1"/>
        <v>-18</v>
      </c>
      <c r="H68" s="63">
        <f t="shared" si="3"/>
        <v>69.899665551839462</v>
      </c>
    </row>
    <row r="69" spans="1:8">
      <c r="A69" s="64"/>
      <c r="B69" s="47" t="s">
        <v>165</v>
      </c>
      <c r="C69" s="53"/>
      <c r="D69" s="28">
        <v>4.0999999999999996</v>
      </c>
      <c r="E69" s="28">
        <v>12.4</v>
      </c>
      <c r="F69" s="28">
        <v>16.399999999999999</v>
      </c>
      <c r="G69" s="63">
        <f t="shared" si="1"/>
        <v>3.9999999999999982</v>
      </c>
      <c r="H69" s="63">
        <f t="shared" si="3"/>
        <v>132.25806451612902</v>
      </c>
    </row>
    <row r="70" spans="1:8" ht="35.25" customHeight="1">
      <c r="A70" s="64"/>
      <c r="B70" s="47" t="s">
        <v>184</v>
      </c>
      <c r="C70" s="53"/>
      <c r="D70" s="28">
        <v>4.5999999999999996</v>
      </c>
      <c r="E70" s="28">
        <v>1.9</v>
      </c>
      <c r="F70" s="28">
        <v>10.9</v>
      </c>
      <c r="G70" s="63">
        <f t="shared" si="1"/>
        <v>9</v>
      </c>
      <c r="H70" s="63">
        <f t="shared" si="3"/>
        <v>573.68421052631584</v>
      </c>
    </row>
    <row r="71" spans="1:8">
      <c r="A71" s="64"/>
      <c r="B71" s="47" t="s">
        <v>243</v>
      </c>
      <c r="C71" s="53"/>
      <c r="D71" s="28">
        <v>302.5</v>
      </c>
      <c r="E71" s="28"/>
      <c r="F71" s="28"/>
      <c r="G71" s="63">
        <f t="shared" si="1"/>
        <v>0</v>
      </c>
      <c r="H71" s="63"/>
    </row>
    <row r="72" spans="1:8">
      <c r="A72" s="64"/>
      <c r="B72" s="47" t="s">
        <v>363</v>
      </c>
      <c r="C72" s="53"/>
      <c r="D72" s="28"/>
      <c r="E72" s="28"/>
      <c r="F72" s="28">
        <v>1.7</v>
      </c>
      <c r="G72" s="63">
        <f t="shared" si="1"/>
        <v>1.7</v>
      </c>
      <c r="H72" s="63"/>
    </row>
    <row r="73" spans="1:8">
      <c r="A73" s="64"/>
      <c r="B73" s="56" t="s">
        <v>338</v>
      </c>
      <c r="C73" s="61"/>
      <c r="D73" s="28">
        <f>132.6+563.3</f>
        <v>695.9</v>
      </c>
      <c r="E73" s="28">
        <v>75.599999999999994</v>
      </c>
      <c r="F73" s="28">
        <v>171.7</v>
      </c>
      <c r="G73" s="63">
        <f t="shared" si="1"/>
        <v>96.1</v>
      </c>
      <c r="H73" s="63">
        <f t="shared" si="3"/>
        <v>227.11640211640213</v>
      </c>
    </row>
    <row r="74" spans="1:8" ht="42.75" customHeight="1">
      <c r="A74" s="64"/>
      <c r="B74" s="47" t="s">
        <v>213</v>
      </c>
      <c r="C74" s="61"/>
      <c r="D74" s="28"/>
      <c r="E74" s="28">
        <v>11.5</v>
      </c>
      <c r="F74" s="28"/>
      <c r="G74" s="63">
        <f t="shared" si="1"/>
        <v>-11.5</v>
      </c>
      <c r="H74" s="63">
        <f t="shared" si="3"/>
        <v>0</v>
      </c>
    </row>
    <row r="75" spans="1:8">
      <c r="A75" s="64"/>
      <c r="B75" s="47" t="s">
        <v>349</v>
      </c>
      <c r="C75" s="61"/>
      <c r="D75" s="28">
        <v>190</v>
      </c>
      <c r="E75" s="28"/>
      <c r="F75" s="28"/>
      <c r="G75" s="63">
        <f t="shared" si="1"/>
        <v>0</v>
      </c>
      <c r="H75" s="63"/>
    </row>
    <row r="76" spans="1:8">
      <c r="A76" s="64"/>
      <c r="B76" s="56" t="s">
        <v>187</v>
      </c>
      <c r="C76" s="61"/>
      <c r="D76" s="28">
        <v>5.7</v>
      </c>
      <c r="E76" s="28">
        <v>1.1000000000000001</v>
      </c>
      <c r="F76" s="28">
        <v>5.6</v>
      </c>
      <c r="G76" s="63">
        <f t="shared" si="1"/>
        <v>4.5</v>
      </c>
      <c r="H76" s="63">
        <f t="shared" si="3"/>
        <v>509.09090909090901</v>
      </c>
    </row>
    <row r="77" spans="1:8">
      <c r="A77" s="64"/>
      <c r="B77" s="47" t="s">
        <v>189</v>
      </c>
      <c r="C77" s="61"/>
      <c r="D77" s="28"/>
      <c r="E77" s="28">
        <v>7.6</v>
      </c>
      <c r="F77" s="28"/>
      <c r="G77" s="63">
        <f t="shared" si="1"/>
        <v>-7.6</v>
      </c>
      <c r="H77" s="63">
        <f t="shared" si="3"/>
        <v>0</v>
      </c>
    </row>
    <row r="78" spans="1:8">
      <c r="A78" s="64"/>
      <c r="B78" s="47" t="s">
        <v>190</v>
      </c>
      <c r="C78" s="61"/>
      <c r="D78" s="28"/>
      <c r="E78" s="28">
        <v>1.6</v>
      </c>
      <c r="F78" s="28">
        <v>1.6</v>
      </c>
      <c r="G78" s="63">
        <f t="shared" si="1"/>
        <v>0</v>
      </c>
      <c r="H78" s="63">
        <f t="shared" si="3"/>
        <v>100</v>
      </c>
    </row>
    <row r="79" spans="1:8">
      <c r="A79" s="64"/>
      <c r="B79" s="49" t="s">
        <v>191</v>
      </c>
      <c r="C79" s="61"/>
      <c r="D79" s="28"/>
      <c r="E79" s="28">
        <v>0.3</v>
      </c>
      <c r="F79" s="28">
        <v>0.3</v>
      </c>
      <c r="G79" s="63">
        <f t="shared" si="1"/>
        <v>0</v>
      </c>
      <c r="H79" s="63">
        <f t="shared" si="3"/>
        <v>100</v>
      </c>
    </row>
    <row r="80" spans="1:8">
      <c r="A80" s="64"/>
      <c r="B80" s="49" t="s">
        <v>192</v>
      </c>
      <c r="C80" s="61"/>
      <c r="D80" s="28">
        <v>828.6</v>
      </c>
      <c r="E80" s="28">
        <v>1563.1</v>
      </c>
      <c r="F80" s="28">
        <v>1590.5</v>
      </c>
      <c r="G80" s="63">
        <f t="shared" si="1"/>
        <v>27.400000000000091</v>
      </c>
      <c r="H80" s="63">
        <f t="shared" si="3"/>
        <v>101.7529268760796</v>
      </c>
    </row>
    <row r="81" spans="1:8">
      <c r="A81" s="64"/>
      <c r="B81" s="55" t="s">
        <v>193</v>
      </c>
      <c r="C81" s="61"/>
      <c r="D81" s="28">
        <v>138.4</v>
      </c>
      <c r="E81" s="28">
        <v>225.5</v>
      </c>
      <c r="F81" s="28">
        <v>230.3</v>
      </c>
      <c r="G81" s="63">
        <f t="shared" si="1"/>
        <v>4.8000000000000114</v>
      </c>
      <c r="H81" s="63">
        <f t="shared" si="3"/>
        <v>102.12860310421286</v>
      </c>
    </row>
    <row r="82" spans="1:8">
      <c r="A82" s="64"/>
      <c r="B82" s="55" t="s">
        <v>194</v>
      </c>
      <c r="C82" s="61"/>
      <c r="D82" s="28">
        <v>412.1</v>
      </c>
      <c r="E82" s="28">
        <v>802.2</v>
      </c>
      <c r="F82" s="28">
        <v>814.9</v>
      </c>
      <c r="G82" s="63">
        <f t="shared" si="1"/>
        <v>12.699999999999932</v>
      </c>
      <c r="H82" s="63">
        <f t="shared" si="3"/>
        <v>101.58314634754424</v>
      </c>
    </row>
    <row r="83" spans="1:8">
      <c r="A83" s="64"/>
      <c r="B83" s="49" t="s">
        <v>195</v>
      </c>
      <c r="C83" s="61"/>
      <c r="D83" s="28">
        <v>56</v>
      </c>
      <c r="E83" s="28">
        <v>54.7</v>
      </c>
      <c r="F83" s="28">
        <v>57.3</v>
      </c>
      <c r="G83" s="63">
        <f t="shared" si="1"/>
        <v>2.5999999999999943</v>
      </c>
      <c r="H83" s="63">
        <f t="shared" si="3"/>
        <v>104.75319926873856</v>
      </c>
    </row>
    <row r="84" spans="1:8">
      <c r="A84" s="64"/>
      <c r="B84" s="55" t="s">
        <v>196</v>
      </c>
      <c r="C84" s="61"/>
      <c r="D84" s="28"/>
      <c r="E84" s="28">
        <v>4</v>
      </c>
      <c r="F84" s="28">
        <v>4</v>
      </c>
      <c r="G84" s="63">
        <f t="shared" si="1"/>
        <v>0</v>
      </c>
      <c r="H84" s="63">
        <f t="shared" si="3"/>
        <v>100</v>
      </c>
    </row>
    <row r="85" spans="1:8">
      <c r="A85" s="64"/>
      <c r="B85" s="55" t="s">
        <v>223</v>
      </c>
      <c r="C85" s="61"/>
      <c r="D85" s="28"/>
      <c r="E85" s="28"/>
      <c r="F85" s="28">
        <v>16.7</v>
      </c>
      <c r="G85" s="63">
        <f t="shared" si="1"/>
        <v>16.7</v>
      </c>
      <c r="H85" s="63"/>
    </row>
    <row r="86" spans="1:8">
      <c r="A86" s="64"/>
      <c r="B86" s="49" t="s">
        <v>192</v>
      </c>
      <c r="C86" s="61"/>
      <c r="D86" s="28"/>
      <c r="E86" s="28">
        <v>1563.2</v>
      </c>
      <c r="F86" s="28"/>
      <c r="G86" s="63">
        <f t="shared" si="1"/>
        <v>-1563.2</v>
      </c>
      <c r="H86" s="63"/>
    </row>
    <row r="87" spans="1:8">
      <c r="A87" s="64"/>
      <c r="B87" s="55" t="s">
        <v>193</v>
      </c>
      <c r="C87" s="61"/>
      <c r="D87" s="28"/>
      <c r="E87" s="28">
        <v>225.5</v>
      </c>
      <c r="F87" s="28"/>
      <c r="G87" s="63">
        <f t="shared" si="1"/>
        <v>-225.5</v>
      </c>
      <c r="H87" s="63"/>
    </row>
    <row r="88" spans="1:8">
      <c r="A88" s="64"/>
      <c r="B88" s="55" t="s">
        <v>194</v>
      </c>
      <c r="C88" s="61"/>
      <c r="D88" s="28"/>
      <c r="E88" s="28">
        <v>802.2</v>
      </c>
      <c r="F88" s="28"/>
      <c r="G88" s="63">
        <f t="shared" si="1"/>
        <v>-802.2</v>
      </c>
      <c r="H88" s="63"/>
    </row>
    <row r="89" spans="1:8">
      <c r="A89" s="64"/>
      <c r="B89" s="55" t="s">
        <v>195</v>
      </c>
      <c r="C89" s="61"/>
      <c r="D89" s="28"/>
      <c r="E89" s="28">
        <v>54.7</v>
      </c>
      <c r="F89" s="28"/>
      <c r="G89" s="63">
        <f t="shared" si="1"/>
        <v>-54.7</v>
      </c>
      <c r="H89" s="63"/>
    </row>
    <row r="90" spans="1:8">
      <c r="A90" s="64"/>
      <c r="B90" s="55" t="s">
        <v>196</v>
      </c>
      <c r="C90" s="61"/>
      <c r="D90" s="28"/>
      <c r="E90" s="28">
        <v>4</v>
      </c>
      <c r="F90" s="28"/>
      <c r="G90" s="63">
        <f t="shared" si="1"/>
        <v>-4</v>
      </c>
      <c r="H90" s="63"/>
    </row>
    <row r="91" spans="1:8" s="73" customFormat="1" ht="34.5" customHeight="1">
      <c r="A91" s="292" t="s">
        <v>388</v>
      </c>
      <c r="B91" s="292"/>
      <c r="C91" s="121"/>
      <c r="D91" s="28"/>
      <c r="E91" s="28"/>
      <c r="F91" s="28"/>
      <c r="G91" s="63"/>
      <c r="H91" s="63"/>
    </row>
    <row r="92" spans="1:8" s="73" customFormat="1" ht="32.25" customHeight="1">
      <c r="A92" s="292" t="s">
        <v>109</v>
      </c>
      <c r="B92" s="292"/>
      <c r="C92" s="53">
        <v>1021</v>
      </c>
      <c r="D92" s="27">
        <f>SUM(D93:D97)</f>
        <v>102.7</v>
      </c>
      <c r="E92" s="27">
        <f>SUM(E94:E97)</f>
        <v>35.5</v>
      </c>
      <c r="F92" s="27">
        <f>SUM(F94:F97)</f>
        <v>15.2</v>
      </c>
      <c r="G92" s="72">
        <f t="shared" si="1"/>
        <v>-20.3</v>
      </c>
      <c r="H92" s="72">
        <f t="shared" si="3"/>
        <v>42.816901408450704</v>
      </c>
    </row>
    <row r="93" spans="1:8" s="73" customFormat="1" ht="27" customHeight="1">
      <c r="A93" s="59"/>
      <c r="B93" s="60" t="s">
        <v>207</v>
      </c>
      <c r="C93" s="53"/>
      <c r="D93" s="28">
        <v>38.6</v>
      </c>
      <c r="E93" s="28"/>
      <c r="F93" s="28"/>
      <c r="G93" s="63">
        <f t="shared" si="1"/>
        <v>0</v>
      </c>
      <c r="H93" s="63"/>
    </row>
    <row r="94" spans="1:8" s="73" customFormat="1" ht="24" customHeight="1">
      <c r="A94" s="59"/>
      <c r="B94" s="60" t="s">
        <v>178</v>
      </c>
      <c r="C94" s="53"/>
      <c r="D94" s="28">
        <v>7.7</v>
      </c>
      <c r="E94" s="28">
        <v>1.6</v>
      </c>
      <c r="F94" s="28">
        <v>6</v>
      </c>
      <c r="G94" s="63">
        <f t="shared" si="1"/>
        <v>4.4000000000000004</v>
      </c>
      <c r="H94" s="63">
        <f t="shared" si="3"/>
        <v>375</v>
      </c>
    </row>
    <row r="95" spans="1:8" s="73" customFormat="1" ht="26.25" customHeight="1">
      <c r="A95" s="59"/>
      <c r="B95" s="60" t="s">
        <v>350</v>
      </c>
      <c r="C95" s="53"/>
      <c r="D95" s="28">
        <v>5</v>
      </c>
      <c r="E95" s="28"/>
      <c r="F95" s="28"/>
      <c r="G95" s="63">
        <f t="shared" si="1"/>
        <v>0</v>
      </c>
      <c r="H95" s="63"/>
    </row>
    <row r="96" spans="1:8" s="73" customFormat="1" ht="58.5" customHeight="1">
      <c r="A96" s="59"/>
      <c r="B96" s="60" t="s">
        <v>336</v>
      </c>
      <c r="C96" s="53"/>
      <c r="D96" s="28">
        <v>51.4</v>
      </c>
      <c r="E96" s="28">
        <v>24</v>
      </c>
      <c r="F96" s="28">
        <v>1.2</v>
      </c>
      <c r="G96" s="63">
        <f t="shared" si="1"/>
        <v>-22.8</v>
      </c>
      <c r="H96" s="63">
        <f t="shared" si="3"/>
        <v>5</v>
      </c>
    </row>
    <row r="97" spans="1:8" s="73" customFormat="1" ht="63.75" customHeight="1">
      <c r="A97" s="59"/>
      <c r="B97" s="60" t="s">
        <v>337</v>
      </c>
      <c r="C97" s="53"/>
      <c r="D97" s="28"/>
      <c r="E97" s="28">
        <v>9.9</v>
      </c>
      <c r="F97" s="28">
        <v>8</v>
      </c>
      <c r="G97" s="63">
        <f t="shared" si="1"/>
        <v>-1.9000000000000004</v>
      </c>
      <c r="H97" s="63">
        <f t="shared" si="3"/>
        <v>80.808080808080803</v>
      </c>
    </row>
    <row r="98" spans="1:8" s="73" customFormat="1" ht="28.5" customHeight="1">
      <c r="A98" s="292" t="s">
        <v>79</v>
      </c>
      <c r="B98" s="292"/>
      <c r="C98" s="121">
        <v>1025</v>
      </c>
      <c r="D98" s="27">
        <f>SUM(D99:D118)</f>
        <v>163.69999999999999</v>
      </c>
      <c r="E98" s="27">
        <f>SUM(E99:E116)</f>
        <v>137.80000000000004</v>
      </c>
      <c r="F98" s="27">
        <f>SUM(F99:F118)</f>
        <v>105.19999999999999</v>
      </c>
      <c r="G98" s="72">
        <f t="shared" si="1"/>
        <v>-32.600000000000051</v>
      </c>
      <c r="H98" s="72">
        <f t="shared" si="3"/>
        <v>76.342525399129144</v>
      </c>
    </row>
    <row r="99" spans="1:8" s="73" customFormat="1">
      <c r="A99" s="123"/>
      <c r="B99" s="62" t="s">
        <v>165</v>
      </c>
      <c r="C99" s="121"/>
      <c r="D99" s="28">
        <v>7.1</v>
      </c>
      <c r="E99" s="28">
        <v>4.9000000000000004</v>
      </c>
      <c r="F99" s="28">
        <v>4.8</v>
      </c>
      <c r="G99" s="63">
        <f t="shared" si="1"/>
        <v>-0.10000000000000053</v>
      </c>
      <c r="H99" s="63">
        <f t="shared" si="3"/>
        <v>97.959183673469369</v>
      </c>
    </row>
    <row r="100" spans="1:8" s="73" customFormat="1">
      <c r="A100" s="123"/>
      <c r="B100" s="47" t="s">
        <v>215</v>
      </c>
      <c r="C100" s="121"/>
      <c r="D100" s="28">
        <v>7.8</v>
      </c>
      <c r="E100" s="28">
        <v>7.4</v>
      </c>
      <c r="F100" s="28">
        <v>26.7</v>
      </c>
      <c r="G100" s="63">
        <f t="shared" si="1"/>
        <v>19.299999999999997</v>
      </c>
      <c r="H100" s="63">
        <f t="shared" si="3"/>
        <v>360.81081081081078</v>
      </c>
    </row>
    <row r="101" spans="1:8" s="73" customFormat="1">
      <c r="A101" s="123"/>
      <c r="B101" s="62" t="s">
        <v>171</v>
      </c>
      <c r="C101" s="121"/>
      <c r="D101" s="28">
        <v>1.8</v>
      </c>
      <c r="E101" s="28">
        <v>1.5</v>
      </c>
      <c r="F101" s="28">
        <v>1.9</v>
      </c>
      <c r="G101" s="63">
        <f t="shared" si="1"/>
        <v>0.39999999999999991</v>
      </c>
      <c r="H101" s="63">
        <f t="shared" si="3"/>
        <v>126.66666666666666</v>
      </c>
    </row>
    <row r="102" spans="1:8" s="73" customFormat="1">
      <c r="A102" s="123"/>
      <c r="B102" s="47" t="s">
        <v>340</v>
      </c>
      <c r="C102" s="121"/>
      <c r="D102" s="28"/>
      <c r="E102" s="28"/>
      <c r="F102" s="28">
        <v>4.0999999999999996</v>
      </c>
      <c r="G102" s="63">
        <f t="shared" si="1"/>
        <v>4.0999999999999996</v>
      </c>
      <c r="H102" s="63"/>
    </row>
    <row r="103" spans="1:8" s="73" customFormat="1" ht="61.5" customHeight="1">
      <c r="A103" s="123"/>
      <c r="B103" s="47" t="s">
        <v>170</v>
      </c>
      <c r="C103" s="121"/>
      <c r="D103" s="28">
        <v>20.100000000000001</v>
      </c>
      <c r="E103" s="28">
        <v>25.1</v>
      </c>
      <c r="F103" s="28">
        <v>32.5</v>
      </c>
      <c r="G103" s="63">
        <f t="shared" si="1"/>
        <v>7.3999999999999986</v>
      </c>
      <c r="H103" s="63">
        <f t="shared" si="3"/>
        <v>129.48207171314741</v>
      </c>
    </row>
    <row r="104" spans="1:8" s="73" customFormat="1">
      <c r="A104" s="123"/>
      <c r="B104" s="47" t="s">
        <v>216</v>
      </c>
      <c r="C104" s="121"/>
      <c r="D104" s="28">
        <v>1.8</v>
      </c>
      <c r="E104" s="28">
        <v>2.2000000000000002</v>
      </c>
      <c r="F104" s="28">
        <v>3.1</v>
      </c>
      <c r="G104" s="63">
        <f t="shared" si="1"/>
        <v>0.89999999999999991</v>
      </c>
      <c r="H104" s="63">
        <f t="shared" si="3"/>
        <v>140.90909090909091</v>
      </c>
    </row>
    <row r="105" spans="1:8" s="73" customFormat="1">
      <c r="A105" s="123"/>
      <c r="B105" s="62" t="s">
        <v>192</v>
      </c>
      <c r="C105" s="121"/>
      <c r="D105" s="28">
        <v>16.100000000000001</v>
      </c>
      <c r="E105" s="28">
        <v>28.6</v>
      </c>
      <c r="F105" s="28"/>
      <c r="G105" s="63">
        <f t="shared" si="1"/>
        <v>-28.6</v>
      </c>
      <c r="H105" s="63">
        <f t="shared" si="3"/>
        <v>0</v>
      </c>
    </row>
    <row r="106" spans="1:8" s="73" customFormat="1">
      <c r="A106" s="123"/>
      <c r="B106" s="62" t="s">
        <v>193</v>
      </c>
      <c r="C106" s="121"/>
      <c r="D106" s="28">
        <v>2.6</v>
      </c>
      <c r="E106" s="28">
        <v>4.2</v>
      </c>
      <c r="F106" s="28"/>
      <c r="G106" s="63">
        <f t="shared" si="1"/>
        <v>-4.2</v>
      </c>
      <c r="H106" s="63">
        <f t="shared" si="3"/>
        <v>0</v>
      </c>
    </row>
    <row r="107" spans="1:8" s="73" customFormat="1">
      <c r="A107" s="123"/>
      <c r="B107" s="62" t="s">
        <v>194</v>
      </c>
      <c r="C107" s="121"/>
      <c r="D107" s="28">
        <v>7.9</v>
      </c>
      <c r="E107" s="28">
        <v>12.7</v>
      </c>
      <c r="F107" s="28"/>
      <c r="G107" s="63">
        <f t="shared" si="1"/>
        <v>-12.7</v>
      </c>
      <c r="H107" s="63">
        <f t="shared" si="3"/>
        <v>0</v>
      </c>
    </row>
    <row r="108" spans="1:8" s="73" customFormat="1">
      <c r="A108" s="123"/>
      <c r="B108" s="62" t="s">
        <v>195</v>
      </c>
      <c r="C108" s="121"/>
      <c r="D108" s="28">
        <v>1.1000000000000001</v>
      </c>
      <c r="E108" s="28">
        <v>0.9</v>
      </c>
      <c r="F108" s="28"/>
      <c r="G108" s="63">
        <f t="shared" si="1"/>
        <v>-0.9</v>
      </c>
      <c r="H108" s="63">
        <f t="shared" si="3"/>
        <v>0</v>
      </c>
    </row>
    <row r="109" spans="1:8" s="73" customFormat="1">
      <c r="A109" s="123"/>
      <c r="B109" s="62" t="s">
        <v>191</v>
      </c>
      <c r="C109" s="122"/>
      <c r="D109" s="28"/>
      <c r="E109" s="28">
        <v>2</v>
      </c>
      <c r="F109" s="28">
        <v>1.7</v>
      </c>
      <c r="G109" s="63">
        <f t="shared" si="1"/>
        <v>-0.30000000000000004</v>
      </c>
      <c r="H109" s="63">
        <f t="shared" si="3"/>
        <v>85</v>
      </c>
    </row>
    <row r="110" spans="1:8" s="73" customFormat="1">
      <c r="A110" s="123"/>
      <c r="B110" s="62" t="s">
        <v>214</v>
      </c>
      <c r="C110" s="122"/>
      <c r="D110" s="28">
        <v>4.7</v>
      </c>
      <c r="E110" s="28"/>
      <c r="F110" s="28"/>
      <c r="G110" s="63">
        <f t="shared" si="1"/>
        <v>0</v>
      </c>
      <c r="H110" s="63"/>
    </row>
    <row r="111" spans="1:8" s="73" customFormat="1">
      <c r="A111" s="123"/>
      <c r="B111" s="62" t="s">
        <v>341</v>
      </c>
      <c r="C111" s="122"/>
      <c r="D111" s="28">
        <v>7.2</v>
      </c>
      <c r="E111" s="28">
        <v>6.2</v>
      </c>
      <c r="F111" s="28">
        <v>3.6</v>
      </c>
      <c r="G111" s="63">
        <f t="shared" si="1"/>
        <v>-2.6</v>
      </c>
      <c r="H111" s="63">
        <f t="shared" si="3"/>
        <v>58.064516129032263</v>
      </c>
    </row>
    <row r="112" spans="1:8" s="73" customFormat="1">
      <c r="A112" s="123"/>
      <c r="B112" s="62" t="s">
        <v>203</v>
      </c>
      <c r="C112" s="122"/>
      <c r="D112" s="28"/>
      <c r="E112" s="28"/>
      <c r="F112" s="28">
        <v>0.7</v>
      </c>
      <c r="G112" s="63">
        <f t="shared" si="1"/>
        <v>0.7</v>
      </c>
      <c r="H112" s="63"/>
    </row>
    <row r="113" spans="1:8" s="73" customFormat="1">
      <c r="A113" s="123"/>
      <c r="B113" s="62" t="s">
        <v>190</v>
      </c>
      <c r="C113" s="122"/>
      <c r="D113" s="28"/>
      <c r="E113" s="28"/>
      <c r="F113" s="28">
        <v>0.8</v>
      </c>
      <c r="G113" s="63">
        <f t="shared" si="1"/>
        <v>0.8</v>
      </c>
      <c r="H113" s="63"/>
    </row>
    <row r="114" spans="1:8" s="73" customFormat="1" ht="42.75" customHeight="1">
      <c r="A114" s="123"/>
      <c r="B114" s="52" t="s">
        <v>200</v>
      </c>
      <c r="C114" s="122"/>
      <c r="D114" s="28"/>
      <c r="E114" s="28">
        <v>24</v>
      </c>
      <c r="F114" s="28">
        <v>23.9</v>
      </c>
      <c r="G114" s="63">
        <f t="shared" si="1"/>
        <v>-0.10000000000000142</v>
      </c>
      <c r="H114" s="63">
        <f t="shared" si="3"/>
        <v>99.583333333333329</v>
      </c>
    </row>
    <row r="115" spans="1:8" s="73" customFormat="1">
      <c r="A115" s="123"/>
      <c r="B115" s="55" t="s">
        <v>223</v>
      </c>
      <c r="C115" s="122"/>
      <c r="D115" s="28"/>
      <c r="E115" s="28">
        <v>16.7</v>
      </c>
      <c r="F115" s="28"/>
      <c r="G115" s="63">
        <f t="shared" si="1"/>
        <v>-16.7</v>
      </c>
      <c r="H115" s="63">
        <f t="shared" si="3"/>
        <v>0</v>
      </c>
    </row>
    <row r="116" spans="1:8" s="73" customFormat="1" ht="21" customHeight="1">
      <c r="A116" s="123"/>
      <c r="B116" s="55" t="s">
        <v>222</v>
      </c>
      <c r="C116" s="122"/>
      <c r="D116" s="28">
        <f>1.9+2.3</f>
        <v>4.1999999999999993</v>
      </c>
      <c r="E116" s="28">
        <v>1.4</v>
      </c>
      <c r="F116" s="28">
        <v>1.4</v>
      </c>
      <c r="G116" s="63">
        <f t="shared" si="1"/>
        <v>0</v>
      </c>
      <c r="H116" s="63">
        <f t="shared" si="3"/>
        <v>100</v>
      </c>
    </row>
    <row r="117" spans="1:8" s="73" customFormat="1" ht="21" customHeight="1">
      <c r="A117" s="123"/>
      <c r="B117" s="47" t="s">
        <v>275</v>
      </c>
      <c r="C117" s="122"/>
      <c r="D117" s="28">
        <v>0.3</v>
      </c>
      <c r="E117" s="28"/>
      <c r="F117" s="28"/>
      <c r="G117" s="63"/>
      <c r="H117" s="63"/>
    </row>
    <row r="118" spans="1:8" s="73" customFormat="1" ht="21" customHeight="1">
      <c r="A118" s="123"/>
      <c r="B118" s="55" t="s">
        <v>282</v>
      </c>
      <c r="C118" s="122"/>
      <c r="D118" s="28">
        <v>81</v>
      </c>
      <c r="E118" s="28"/>
      <c r="F118" s="28"/>
      <c r="G118" s="63">
        <f t="shared" si="1"/>
        <v>0</v>
      </c>
      <c r="H118" s="63"/>
    </row>
    <row r="119" spans="1:8" s="73" customFormat="1" ht="37.5" customHeight="1">
      <c r="A119" s="292" t="s">
        <v>224</v>
      </c>
      <c r="B119" s="292"/>
      <c r="C119" s="121"/>
      <c r="D119" s="27"/>
      <c r="E119" s="27"/>
      <c r="F119" s="27"/>
      <c r="G119" s="72"/>
      <c r="H119" s="72"/>
    </row>
    <row r="120" spans="1:8" s="73" customFormat="1" ht="25.5" customHeight="1">
      <c r="A120" s="292" t="s">
        <v>109</v>
      </c>
      <c r="B120" s="292"/>
      <c r="C120" s="121">
        <v>1031</v>
      </c>
      <c r="D120" s="27">
        <f>SUM(D121:D123)</f>
        <v>175.1</v>
      </c>
      <c r="E120" s="27">
        <f>SUM(E121:E123)</f>
        <v>0</v>
      </c>
      <c r="F120" s="27">
        <f>SUM(F121:F123)</f>
        <v>0</v>
      </c>
      <c r="G120" s="72">
        <f t="shared" si="1"/>
        <v>0</v>
      </c>
      <c r="H120" s="72"/>
    </row>
    <row r="121" spans="1:8" s="73" customFormat="1">
      <c r="A121" s="53"/>
      <c r="B121" s="60" t="s">
        <v>149</v>
      </c>
      <c r="C121" s="122"/>
      <c r="D121" s="28">
        <v>154.1</v>
      </c>
      <c r="E121" s="27"/>
      <c r="F121" s="27"/>
      <c r="G121" s="72"/>
      <c r="H121" s="72"/>
    </row>
    <row r="122" spans="1:8" s="73" customFormat="1">
      <c r="A122" s="53"/>
      <c r="B122" s="60" t="s">
        <v>351</v>
      </c>
      <c r="C122" s="121"/>
      <c r="D122" s="28">
        <v>1.3</v>
      </c>
      <c r="E122" s="27"/>
      <c r="F122" s="27"/>
      <c r="G122" s="72"/>
      <c r="H122" s="72"/>
    </row>
    <row r="123" spans="1:8" s="73" customFormat="1" ht="37.5">
      <c r="A123" s="53"/>
      <c r="B123" s="60" t="s">
        <v>207</v>
      </c>
      <c r="C123" s="121"/>
      <c r="D123" s="28">
        <v>19.7</v>
      </c>
      <c r="E123" s="27"/>
      <c r="F123" s="27"/>
      <c r="G123" s="72"/>
      <c r="H123" s="72"/>
    </row>
    <row r="124" spans="1:8" s="73" customFormat="1" ht="30.75" customHeight="1">
      <c r="A124" s="292" t="s">
        <v>89</v>
      </c>
      <c r="B124" s="292"/>
      <c r="C124" s="121">
        <v>1035</v>
      </c>
      <c r="D124" s="27">
        <f>SUM(D125:D144)</f>
        <v>140.09999999999997</v>
      </c>
      <c r="E124" s="27">
        <f>SUM(E127:E144)</f>
        <v>133.39999999999998</v>
      </c>
      <c r="F124" s="27">
        <f>SUM(F125:F144)</f>
        <v>86</v>
      </c>
      <c r="G124" s="72">
        <f t="shared" si="1"/>
        <v>-47.399999999999977</v>
      </c>
      <c r="H124" s="72">
        <f t="shared" si="3"/>
        <v>64.467766116941533</v>
      </c>
    </row>
    <row r="125" spans="1:8" s="73" customFormat="1" ht="54" customHeight="1">
      <c r="A125" s="59"/>
      <c r="B125" s="60" t="s">
        <v>201</v>
      </c>
      <c r="C125" s="122"/>
      <c r="D125" s="28">
        <v>0.9</v>
      </c>
      <c r="E125" s="28"/>
      <c r="F125" s="28"/>
      <c r="G125" s="63">
        <f t="shared" si="1"/>
        <v>0</v>
      </c>
      <c r="H125" s="63"/>
    </row>
    <row r="126" spans="1:8" s="73" customFormat="1">
      <c r="A126" s="59"/>
      <c r="B126" s="60" t="s">
        <v>192</v>
      </c>
      <c r="C126" s="122"/>
      <c r="D126" s="28">
        <v>42.9</v>
      </c>
      <c r="E126" s="28"/>
      <c r="F126" s="28">
        <v>5.4</v>
      </c>
      <c r="G126" s="63">
        <f t="shared" si="1"/>
        <v>5.4</v>
      </c>
      <c r="H126" s="63"/>
    </row>
    <row r="127" spans="1:8" s="73" customFormat="1">
      <c r="A127" s="59"/>
      <c r="B127" s="62" t="s">
        <v>193</v>
      </c>
      <c r="C127" s="121"/>
      <c r="D127" s="28">
        <v>2</v>
      </c>
      <c r="E127" s="28">
        <v>5.0999999999999996</v>
      </c>
      <c r="F127" s="28">
        <v>0.8</v>
      </c>
      <c r="G127" s="63">
        <f t="shared" si="1"/>
        <v>-4.3</v>
      </c>
      <c r="H127" s="63">
        <f t="shared" si="3"/>
        <v>15.686274509803924</v>
      </c>
    </row>
    <row r="128" spans="1:8" s="73" customFormat="1">
      <c r="A128" s="59"/>
      <c r="B128" s="62" t="s">
        <v>194</v>
      </c>
      <c r="C128" s="121"/>
      <c r="D128" s="28">
        <v>24.9</v>
      </c>
      <c r="E128" s="28">
        <v>0.6</v>
      </c>
      <c r="F128" s="28">
        <v>10.1</v>
      </c>
      <c r="G128" s="63">
        <f t="shared" si="1"/>
        <v>9.5</v>
      </c>
      <c r="H128" s="63">
        <f t="shared" si="3"/>
        <v>1683.3333333333333</v>
      </c>
    </row>
    <row r="129" spans="1:9" s="73" customFormat="1">
      <c r="A129" s="59"/>
      <c r="B129" s="60" t="s">
        <v>342</v>
      </c>
      <c r="C129" s="121"/>
      <c r="D129" s="28">
        <v>0.2</v>
      </c>
      <c r="E129" s="28">
        <v>9</v>
      </c>
      <c r="F129" s="28"/>
      <c r="G129" s="63">
        <f t="shared" si="1"/>
        <v>-9</v>
      </c>
      <c r="H129" s="63">
        <f t="shared" si="3"/>
        <v>0</v>
      </c>
    </row>
    <row r="130" spans="1:9" s="73" customFormat="1" ht="23.25" customHeight="1">
      <c r="A130" s="59"/>
      <c r="B130" s="60" t="s">
        <v>189</v>
      </c>
      <c r="C130" s="121"/>
      <c r="D130" s="28"/>
      <c r="E130" s="28"/>
      <c r="F130" s="28">
        <v>7.5</v>
      </c>
      <c r="G130" s="63">
        <f t="shared" si="1"/>
        <v>7.5</v>
      </c>
      <c r="H130" s="63"/>
    </row>
    <row r="131" spans="1:9" s="73" customFormat="1" ht="19.5" customHeight="1">
      <c r="A131" s="59"/>
      <c r="B131" s="60" t="s">
        <v>352</v>
      </c>
      <c r="C131" s="121"/>
      <c r="D131" s="28">
        <v>3.6</v>
      </c>
      <c r="E131" s="28"/>
      <c r="F131" s="28"/>
      <c r="G131" s="63">
        <f t="shared" si="1"/>
        <v>0</v>
      </c>
      <c r="H131" s="63"/>
    </row>
    <row r="132" spans="1:9" s="73" customFormat="1">
      <c r="A132" s="123"/>
      <c r="B132" s="47" t="s">
        <v>217</v>
      </c>
      <c r="C132" s="122"/>
      <c r="D132" s="28"/>
      <c r="E132" s="28">
        <v>3.3</v>
      </c>
      <c r="F132" s="28">
        <v>3.3</v>
      </c>
      <c r="G132" s="63">
        <f t="shared" si="1"/>
        <v>0</v>
      </c>
      <c r="H132" s="63">
        <f t="shared" si="3"/>
        <v>100</v>
      </c>
    </row>
    <row r="133" spans="1:9" s="73" customFormat="1">
      <c r="A133" s="123"/>
      <c r="B133" s="47" t="s">
        <v>353</v>
      </c>
      <c r="C133" s="122"/>
      <c r="D133" s="28">
        <v>0.8</v>
      </c>
      <c r="E133" s="28"/>
      <c r="F133" s="28"/>
      <c r="G133" s="63">
        <f t="shared" ref="G133:G144" si="4">F133-E133</f>
        <v>0</v>
      </c>
      <c r="H133" s="63"/>
      <c r="I133" s="30"/>
    </row>
    <row r="134" spans="1:9" s="73" customFormat="1">
      <c r="A134" s="123"/>
      <c r="B134" s="47" t="s">
        <v>343</v>
      </c>
      <c r="C134" s="122"/>
      <c r="D134" s="28"/>
      <c r="E134" s="28">
        <v>60.4</v>
      </c>
      <c r="F134" s="28"/>
      <c r="G134" s="63">
        <f t="shared" si="4"/>
        <v>-60.4</v>
      </c>
      <c r="H134" s="63">
        <f t="shared" ref="H134:H139" si="5">(F134/E134)*100</f>
        <v>0</v>
      </c>
      <c r="I134" s="30"/>
    </row>
    <row r="135" spans="1:9" s="73" customFormat="1">
      <c r="A135" s="123"/>
      <c r="B135" s="47" t="s">
        <v>335</v>
      </c>
      <c r="C135" s="122"/>
      <c r="D135" s="28"/>
      <c r="E135" s="28"/>
      <c r="F135" s="28">
        <v>0.2</v>
      </c>
      <c r="G135" s="63">
        <f t="shared" si="4"/>
        <v>0.2</v>
      </c>
      <c r="H135" s="63"/>
      <c r="I135" s="30"/>
    </row>
    <row r="136" spans="1:9" s="73" customFormat="1">
      <c r="A136" s="123"/>
      <c r="B136" s="47" t="s">
        <v>225</v>
      </c>
      <c r="C136" s="122"/>
      <c r="D136" s="28"/>
      <c r="E136" s="28">
        <v>1.6</v>
      </c>
      <c r="F136" s="28">
        <v>1.6</v>
      </c>
      <c r="G136" s="63">
        <f t="shared" si="4"/>
        <v>0</v>
      </c>
      <c r="H136" s="63">
        <f t="shared" si="5"/>
        <v>100</v>
      </c>
      <c r="I136" s="30"/>
    </row>
    <row r="137" spans="1:9" s="73" customFormat="1">
      <c r="A137" s="123"/>
      <c r="B137" s="56" t="s">
        <v>344</v>
      </c>
      <c r="C137" s="122"/>
      <c r="D137" s="28">
        <v>0.6</v>
      </c>
      <c r="E137" s="28">
        <v>0.3</v>
      </c>
      <c r="F137" s="28">
        <v>0.3</v>
      </c>
      <c r="G137" s="63">
        <f t="shared" si="4"/>
        <v>0</v>
      </c>
      <c r="H137" s="63">
        <f t="shared" si="5"/>
        <v>100</v>
      </c>
      <c r="I137" s="30"/>
    </row>
    <row r="138" spans="1:9" s="73" customFormat="1">
      <c r="A138" s="123"/>
      <c r="B138" s="56" t="s">
        <v>175</v>
      </c>
      <c r="C138" s="122"/>
      <c r="D138" s="28">
        <v>30.2</v>
      </c>
      <c r="E138" s="28">
        <v>51.2</v>
      </c>
      <c r="F138" s="28">
        <v>50.3</v>
      </c>
      <c r="G138" s="63">
        <f t="shared" si="4"/>
        <v>-0.90000000000000568</v>
      </c>
      <c r="H138" s="63">
        <f t="shared" si="5"/>
        <v>98.242187499999986</v>
      </c>
      <c r="I138" s="30"/>
    </row>
    <row r="139" spans="1:9" s="73" customFormat="1">
      <c r="A139" s="123"/>
      <c r="B139" s="47" t="s">
        <v>203</v>
      </c>
      <c r="C139" s="122"/>
      <c r="D139" s="28"/>
      <c r="E139" s="28">
        <v>0.7</v>
      </c>
      <c r="F139" s="28"/>
      <c r="G139" s="63">
        <f t="shared" si="4"/>
        <v>-0.7</v>
      </c>
      <c r="H139" s="63">
        <f t="shared" si="5"/>
        <v>0</v>
      </c>
      <c r="I139" s="30"/>
    </row>
    <row r="140" spans="1:9" s="73" customFormat="1">
      <c r="A140" s="123"/>
      <c r="B140" s="47" t="s">
        <v>204</v>
      </c>
      <c r="C140" s="122"/>
      <c r="D140" s="28">
        <v>0.5</v>
      </c>
      <c r="E140" s="28"/>
      <c r="F140" s="28"/>
      <c r="G140" s="63">
        <f t="shared" si="4"/>
        <v>0</v>
      </c>
      <c r="H140" s="63"/>
      <c r="I140" s="30"/>
    </row>
    <row r="141" spans="1:9" s="73" customFormat="1">
      <c r="A141" s="123"/>
      <c r="B141" s="47" t="s">
        <v>354</v>
      </c>
      <c r="C141" s="122"/>
      <c r="D141" s="28">
        <v>6.6</v>
      </c>
      <c r="E141" s="28"/>
      <c r="F141" s="28">
        <v>5.3</v>
      </c>
      <c r="G141" s="63">
        <f t="shared" si="4"/>
        <v>5.3</v>
      </c>
      <c r="H141" s="63"/>
      <c r="I141" s="30"/>
    </row>
    <row r="142" spans="1:9" s="73" customFormat="1">
      <c r="A142" s="123"/>
      <c r="B142" s="47" t="s">
        <v>355</v>
      </c>
      <c r="C142" s="122"/>
      <c r="D142" s="28">
        <v>1.3</v>
      </c>
      <c r="E142" s="28"/>
      <c r="F142" s="28"/>
      <c r="G142" s="63">
        <f t="shared" si="4"/>
        <v>0</v>
      </c>
      <c r="H142" s="63"/>
      <c r="I142" s="30"/>
    </row>
    <row r="143" spans="1:9" s="73" customFormat="1">
      <c r="A143" s="123"/>
      <c r="B143" s="47" t="s">
        <v>281</v>
      </c>
      <c r="C143" s="122"/>
      <c r="D143" s="28">
        <v>25.6</v>
      </c>
      <c r="E143" s="28"/>
      <c r="F143" s="28"/>
      <c r="G143" s="63"/>
      <c r="H143" s="63"/>
      <c r="I143" s="30"/>
    </row>
    <row r="144" spans="1:9" s="73" customFormat="1">
      <c r="A144" s="123"/>
      <c r="B144" s="47" t="s">
        <v>345</v>
      </c>
      <c r="C144" s="122"/>
      <c r="D144" s="28"/>
      <c r="E144" s="28">
        <v>1.2</v>
      </c>
      <c r="F144" s="28">
        <v>1.2</v>
      </c>
      <c r="G144" s="63">
        <f t="shared" si="4"/>
        <v>0</v>
      </c>
      <c r="H144" s="63"/>
      <c r="I144" s="30"/>
    </row>
    <row r="145" spans="2:8">
      <c r="B145" s="65"/>
      <c r="D145" s="119"/>
      <c r="E145" s="66"/>
      <c r="F145" s="66"/>
    </row>
    <row r="146" spans="2:8" ht="24.75" customHeight="1">
      <c r="B146" s="124" t="s">
        <v>364</v>
      </c>
      <c r="C146" s="29"/>
      <c r="D146" s="289"/>
      <c r="E146" s="289"/>
      <c r="F146" s="120"/>
      <c r="G146" s="294" t="s">
        <v>517</v>
      </c>
      <c r="H146" s="294"/>
    </row>
    <row r="147" spans="2:8">
      <c r="B147" s="254" t="s">
        <v>60</v>
      </c>
      <c r="C147" s="30"/>
      <c r="D147" s="290" t="s">
        <v>66</v>
      </c>
      <c r="E147" s="290"/>
      <c r="F147" s="252"/>
      <c r="G147" s="295" t="s">
        <v>18</v>
      </c>
      <c r="H147" s="295"/>
    </row>
    <row r="148" spans="2:8">
      <c r="B148" s="65"/>
      <c r="D148" s="119"/>
      <c r="E148" s="66"/>
      <c r="F148" s="66"/>
    </row>
    <row r="149" spans="2:8">
      <c r="B149" s="65"/>
      <c r="D149" s="119"/>
      <c r="E149" s="66"/>
      <c r="F149" s="66"/>
    </row>
    <row r="150" spans="2:8">
      <c r="B150" s="65"/>
      <c r="D150" s="119"/>
      <c r="E150" s="66"/>
      <c r="F150" s="66"/>
    </row>
    <row r="151" spans="2:8">
      <c r="B151" s="65"/>
      <c r="D151" s="119"/>
      <c r="E151" s="66"/>
      <c r="F151" s="66"/>
    </row>
    <row r="152" spans="2:8">
      <c r="B152" s="65"/>
      <c r="D152" s="119"/>
      <c r="E152" s="66"/>
      <c r="F152" s="66"/>
    </row>
    <row r="153" spans="2:8">
      <c r="B153" s="65"/>
      <c r="D153" s="119"/>
      <c r="E153" s="66"/>
      <c r="F153" s="66"/>
    </row>
    <row r="154" spans="2:8">
      <c r="B154" s="65"/>
      <c r="D154" s="119"/>
      <c r="E154" s="66"/>
      <c r="F154" s="66"/>
    </row>
    <row r="155" spans="2:8">
      <c r="B155" s="65"/>
      <c r="D155" s="119"/>
      <c r="E155" s="66"/>
      <c r="F155" s="66"/>
    </row>
    <row r="156" spans="2:8">
      <c r="B156" s="65"/>
      <c r="D156" s="119"/>
      <c r="E156" s="66"/>
      <c r="F156" s="66"/>
    </row>
    <row r="157" spans="2:8">
      <c r="B157" s="65"/>
      <c r="D157" s="119"/>
      <c r="E157" s="66"/>
      <c r="F157" s="66"/>
    </row>
    <row r="158" spans="2:8">
      <c r="B158" s="65"/>
      <c r="D158" s="119"/>
      <c r="E158" s="66"/>
      <c r="F158" s="66"/>
    </row>
    <row r="159" spans="2:8">
      <c r="B159" s="65"/>
      <c r="D159" s="119"/>
      <c r="E159" s="66"/>
      <c r="F159" s="66"/>
    </row>
    <row r="160" spans="2:8">
      <c r="B160" s="65"/>
      <c r="D160" s="119"/>
      <c r="E160" s="66"/>
      <c r="F160" s="66"/>
    </row>
    <row r="161" spans="2:9">
      <c r="B161" s="65"/>
      <c r="D161" s="119"/>
      <c r="E161" s="66"/>
      <c r="F161" s="66"/>
    </row>
    <row r="162" spans="2:9">
      <c r="B162" s="65"/>
      <c r="D162" s="119"/>
      <c r="E162" s="66"/>
      <c r="F162" s="66"/>
    </row>
    <row r="163" spans="2:9">
      <c r="B163" s="65"/>
      <c r="D163" s="119"/>
      <c r="E163" s="66"/>
      <c r="F163" s="66"/>
    </row>
    <row r="164" spans="2:9">
      <c r="B164" s="65"/>
      <c r="D164" s="119"/>
      <c r="E164" s="66"/>
      <c r="F164" s="66"/>
    </row>
    <row r="165" spans="2:9">
      <c r="B165" s="65"/>
      <c r="D165" s="119"/>
      <c r="E165" s="66"/>
      <c r="F165" s="66"/>
    </row>
    <row r="166" spans="2:9">
      <c r="B166" s="65"/>
      <c r="D166" s="119"/>
      <c r="E166" s="66"/>
      <c r="F166" s="66"/>
    </row>
    <row r="167" spans="2:9">
      <c r="B167" s="65"/>
      <c r="D167" s="119"/>
      <c r="E167" s="66"/>
      <c r="F167" s="66"/>
    </row>
    <row r="168" spans="2:9">
      <c r="B168" s="65"/>
      <c r="D168" s="119"/>
      <c r="E168" s="66"/>
      <c r="F168" s="66"/>
    </row>
    <row r="169" spans="2:9">
      <c r="B169" s="65"/>
      <c r="D169" s="119"/>
      <c r="E169" s="66"/>
      <c r="F169" s="66"/>
    </row>
    <row r="170" spans="2:9">
      <c r="B170" s="65"/>
      <c r="D170" s="119"/>
      <c r="E170" s="66"/>
      <c r="F170" s="66"/>
    </row>
    <row r="171" spans="2:9">
      <c r="B171" s="65"/>
      <c r="D171" s="119"/>
      <c r="E171" s="66"/>
      <c r="F171" s="66"/>
    </row>
    <row r="172" spans="2:9">
      <c r="B172" s="65"/>
      <c r="D172" s="119"/>
      <c r="E172" s="66"/>
      <c r="F172" s="66"/>
      <c r="I172" s="30">
        <v>0</v>
      </c>
    </row>
    <row r="173" spans="2:9">
      <c r="B173" s="65"/>
      <c r="D173" s="119"/>
      <c r="E173" s="66"/>
      <c r="F173" s="66"/>
    </row>
    <row r="174" spans="2:9">
      <c r="B174" s="65"/>
      <c r="D174" s="119"/>
      <c r="E174" s="66"/>
      <c r="F174" s="66"/>
    </row>
    <row r="175" spans="2:9">
      <c r="B175" s="65"/>
      <c r="D175" s="119"/>
      <c r="E175" s="66"/>
      <c r="F175" s="66"/>
    </row>
    <row r="176" spans="2:9">
      <c r="B176" s="65"/>
      <c r="D176" s="119"/>
      <c r="E176" s="66"/>
      <c r="F176" s="66"/>
    </row>
    <row r="177" spans="2:6">
      <c r="B177" s="65"/>
      <c r="D177" s="119"/>
      <c r="E177" s="66"/>
      <c r="F177" s="66"/>
    </row>
    <row r="178" spans="2:6">
      <c r="B178" s="65"/>
      <c r="D178" s="119"/>
      <c r="E178" s="66"/>
      <c r="F178" s="66"/>
    </row>
    <row r="179" spans="2:6">
      <c r="B179" s="65"/>
      <c r="D179" s="119"/>
      <c r="E179" s="66"/>
      <c r="F179" s="66"/>
    </row>
    <row r="180" spans="2:6">
      <c r="B180" s="65"/>
      <c r="D180" s="119"/>
      <c r="E180" s="66"/>
      <c r="F180" s="66"/>
    </row>
    <row r="181" spans="2:6">
      <c r="B181" s="65"/>
      <c r="D181" s="119"/>
      <c r="E181" s="66"/>
      <c r="F181" s="66"/>
    </row>
    <row r="182" spans="2:6">
      <c r="B182" s="65"/>
      <c r="D182" s="119"/>
      <c r="E182" s="66"/>
      <c r="F182" s="66"/>
    </row>
    <row r="183" spans="2:6">
      <c r="B183" s="65"/>
      <c r="D183" s="119"/>
      <c r="E183" s="66"/>
      <c r="F183" s="66"/>
    </row>
    <row r="184" spans="2:6">
      <c r="B184" s="65"/>
      <c r="D184" s="119"/>
      <c r="E184" s="66"/>
      <c r="F184" s="66"/>
    </row>
    <row r="185" spans="2:6">
      <c r="B185" s="65"/>
      <c r="D185" s="119"/>
      <c r="E185" s="66"/>
      <c r="F185" s="66"/>
    </row>
    <row r="186" spans="2:6">
      <c r="B186" s="65"/>
      <c r="D186" s="119"/>
      <c r="E186" s="66"/>
      <c r="F186" s="66"/>
    </row>
    <row r="187" spans="2:6">
      <c r="B187" s="65"/>
      <c r="D187" s="119"/>
      <c r="E187" s="66"/>
      <c r="F187" s="66"/>
    </row>
    <row r="188" spans="2:6">
      <c r="B188" s="65"/>
      <c r="D188" s="119"/>
      <c r="E188" s="66"/>
      <c r="F188" s="66"/>
    </row>
    <row r="189" spans="2:6">
      <c r="B189" s="65"/>
      <c r="D189" s="119"/>
      <c r="E189" s="66"/>
      <c r="F189" s="66"/>
    </row>
    <row r="190" spans="2:6">
      <c r="B190" s="65"/>
      <c r="D190" s="119"/>
      <c r="E190" s="66"/>
      <c r="F190" s="66"/>
    </row>
    <row r="191" spans="2:6">
      <c r="B191" s="65"/>
      <c r="D191" s="119"/>
      <c r="E191" s="66"/>
      <c r="F191" s="66"/>
    </row>
    <row r="192" spans="2:6">
      <c r="B192" s="65"/>
      <c r="D192" s="119"/>
      <c r="E192" s="66"/>
      <c r="F192" s="66"/>
    </row>
    <row r="193" spans="2:6">
      <c r="B193" s="65"/>
      <c r="D193" s="119"/>
      <c r="E193" s="66"/>
      <c r="F193" s="66"/>
    </row>
    <row r="194" spans="2:6">
      <c r="B194" s="65"/>
      <c r="D194" s="119"/>
      <c r="E194" s="66"/>
      <c r="F194" s="66"/>
    </row>
    <row r="195" spans="2:6">
      <c r="B195" s="65"/>
      <c r="D195" s="119"/>
      <c r="E195" s="66"/>
      <c r="F195" s="66"/>
    </row>
    <row r="196" spans="2:6">
      <c r="B196" s="65"/>
      <c r="D196" s="119"/>
      <c r="E196" s="66"/>
      <c r="F196" s="66"/>
    </row>
    <row r="197" spans="2:6">
      <c r="B197" s="65"/>
      <c r="D197" s="119"/>
      <c r="E197" s="66"/>
      <c r="F197" s="66"/>
    </row>
    <row r="198" spans="2:6">
      <c r="B198" s="65"/>
      <c r="D198" s="119"/>
      <c r="E198" s="66"/>
      <c r="F198" s="66"/>
    </row>
    <row r="199" spans="2:6">
      <c r="B199" s="65"/>
      <c r="D199" s="119"/>
      <c r="E199" s="66"/>
      <c r="F199" s="66"/>
    </row>
    <row r="200" spans="2:6">
      <c r="B200" s="65"/>
      <c r="D200" s="119"/>
      <c r="E200" s="66"/>
      <c r="F200" s="66"/>
    </row>
    <row r="201" spans="2:6">
      <c r="B201" s="65"/>
      <c r="D201" s="119"/>
      <c r="E201" s="66"/>
      <c r="F201" s="66"/>
    </row>
    <row r="202" spans="2:6">
      <c r="B202" s="65"/>
    </row>
    <row r="203" spans="2:6">
      <c r="B203" s="74"/>
    </row>
    <row r="204" spans="2:6">
      <c r="B204" s="74"/>
    </row>
    <row r="205" spans="2:6">
      <c r="B205" s="74"/>
    </row>
    <row r="206" spans="2:6">
      <c r="B206" s="74"/>
    </row>
    <row r="207" spans="2:6">
      <c r="B207" s="74"/>
    </row>
    <row r="208" spans="2:6">
      <c r="B208" s="74"/>
    </row>
    <row r="209" spans="2:2">
      <c r="B209" s="74"/>
    </row>
    <row r="210" spans="2:2">
      <c r="B210" s="74"/>
    </row>
    <row r="211" spans="2:2">
      <c r="B211" s="74"/>
    </row>
    <row r="212" spans="2:2">
      <c r="B212" s="74"/>
    </row>
    <row r="213" spans="2:2">
      <c r="B213" s="74"/>
    </row>
    <row r="214" spans="2:2">
      <c r="B214" s="74"/>
    </row>
    <row r="215" spans="2:2">
      <c r="B215" s="74"/>
    </row>
    <row r="216" spans="2:2">
      <c r="B216" s="74"/>
    </row>
    <row r="217" spans="2:2">
      <c r="B217" s="74"/>
    </row>
    <row r="218" spans="2:2">
      <c r="B218" s="74"/>
    </row>
    <row r="219" spans="2:2">
      <c r="B219" s="74"/>
    </row>
    <row r="220" spans="2:2">
      <c r="B220" s="74"/>
    </row>
    <row r="221" spans="2:2">
      <c r="B221" s="74"/>
    </row>
    <row r="222" spans="2:2">
      <c r="B222" s="74"/>
    </row>
    <row r="223" spans="2:2">
      <c r="B223" s="74"/>
    </row>
    <row r="224" spans="2:2">
      <c r="B224" s="74"/>
    </row>
    <row r="225" spans="2:2">
      <c r="B225" s="74"/>
    </row>
    <row r="226" spans="2:2">
      <c r="B226" s="74"/>
    </row>
    <row r="227" spans="2:2">
      <c r="B227" s="74"/>
    </row>
    <row r="228" spans="2:2">
      <c r="B228" s="74"/>
    </row>
    <row r="229" spans="2:2">
      <c r="B229" s="74"/>
    </row>
    <row r="230" spans="2:2">
      <c r="B230" s="74"/>
    </row>
    <row r="231" spans="2:2">
      <c r="B231" s="74"/>
    </row>
    <row r="232" spans="2:2">
      <c r="B232" s="74"/>
    </row>
    <row r="233" spans="2:2">
      <c r="B233" s="74"/>
    </row>
    <row r="234" spans="2:2">
      <c r="B234" s="74"/>
    </row>
    <row r="235" spans="2:2">
      <c r="B235" s="74"/>
    </row>
    <row r="236" spans="2:2">
      <c r="B236" s="74"/>
    </row>
    <row r="237" spans="2:2">
      <c r="B237" s="74"/>
    </row>
    <row r="238" spans="2:2">
      <c r="B238" s="74"/>
    </row>
    <row r="239" spans="2:2">
      <c r="B239" s="74"/>
    </row>
    <row r="240" spans="2:2">
      <c r="B240" s="74"/>
    </row>
    <row r="241" spans="2:2">
      <c r="B241" s="74"/>
    </row>
    <row r="242" spans="2:2">
      <c r="B242" s="74"/>
    </row>
    <row r="243" spans="2:2">
      <c r="B243" s="74"/>
    </row>
    <row r="244" spans="2:2">
      <c r="B244" s="74"/>
    </row>
    <row r="245" spans="2:2">
      <c r="B245" s="74"/>
    </row>
    <row r="246" spans="2:2">
      <c r="B246" s="74"/>
    </row>
    <row r="247" spans="2:2">
      <c r="B247" s="74"/>
    </row>
    <row r="248" spans="2:2">
      <c r="B248" s="74"/>
    </row>
    <row r="249" spans="2:2">
      <c r="B249" s="74"/>
    </row>
    <row r="250" spans="2:2">
      <c r="B250" s="74"/>
    </row>
    <row r="251" spans="2:2">
      <c r="B251" s="74"/>
    </row>
    <row r="252" spans="2:2">
      <c r="B252" s="74"/>
    </row>
    <row r="253" spans="2:2">
      <c r="B253" s="74"/>
    </row>
    <row r="254" spans="2:2">
      <c r="B254" s="74"/>
    </row>
    <row r="255" spans="2:2">
      <c r="B255" s="74"/>
    </row>
    <row r="256" spans="2:2">
      <c r="B256" s="74"/>
    </row>
    <row r="257" spans="2:2">
      <c r="B257" s="74"/>
    </row>
    <row r="258" spans="2:2">
      <c r="B258" s="74"/>
    </row>
    <row r="259" spans="2:2">
      <c r="B259" s="74"/>
    </row>
    <row r="260" spans="2:2">
      <c r="B260" s="74"/>
    </row>
    <row r="261" spans="2:2">
      <c r="B261" s="74"/>
    </row>
    <row r="262" spans="2:2">
      <c r="B262" s="74"/>
    </row>
    <row r="263" spans="2:2">
      <c r="B263" s="74"/>
    </row>
    <row r="264" spans="2:2">
      <c r="B264" s="74"/>
    </row>
    <row r="265" spans="2:2">
      <c r="B265" s="74"/>
    </row>
    <row r="266" spans="2:2">
      <c r="B266" s="74"/>
    </row>
    <row r="267" spans="2:2">
      <c r="B267" s="74"/>
    </row>
    <row r="268" spans="2:2">
      <c r="B268" s="74"/>
    </row>
    <row r="269" spans="2:2">
      <c r="B269" s="74"/>
    </row>
    <row r="270" spans="2:2">
      <c r="B270" s="74"/>
    </row>
    <row r="271" spans="2:2">
      <c r="B271" s="74"/>
    </row>
    <row r="272" spans="2:2">
      <c r="B272" s="74"/>
    </row>
    <row r="273" spans="2:2">
      <c r="B273" s="74"/>
    </row>
    <row r="274" spans="2:2">
      <c r="B274" s="74"/>
    </row>
    <row r="275" spans="2:2">
      <c r="B275" s="74"/>
    </row>
    <row r="276" spans="2:2">
      <c r="B276" s="74"/>
    </row>
    <row r="277" spans="2:2">
      <c r="B277" s="74"/>
    </row>
    <row r="278" spans="2:2">
      <c r="B278" s="74"/>
    </row>
    <row r="279" spans="2:2">
      <c r="B279" s="74"/>
    </row>
    <row r="280" spans="2:2">
      <c r="B280" s="74"/>
    </row>
    <row r="281" spans="2:2">
      <c r="B281" s="74"/>
    </row>
    <row r="282" spans="2:2">
      <c r="B282" s="74"/>
    </row>
    <row r="283" spans="2:2">
      <c r="B283" s="74"/>
    </row>
    <row r="284" spans="2:2">
      <c r="B284" s="74"/>
    </row>
    <row r="285" spans="2:2">
      <c r="B285" s="74"/>
    </row>
    <row r="286" spans="2:2">
      <c r="B286" s="74"/>
    </row>
    <row r="287" spans="2:2">
      <c r="B287" s="74"/>
    </row>
    <row r="288" spans="2:2">
      <c r="B288" s="74"/>
    </row>
    <row r="289" spans="2:2">
      <c r="B289" s="74"/>
    </row>
    <row r="290" spans="2:2">
      <c r="B290" s="74"/>
    </row>
    <row r="291" spans="2:2">
      <c r="B291" s="74"/>
    </row>
    <row r="292" spans="2:2">
      <c r="B292" s="74"/>
    </row>
    <row r="293" spans="2:2">
      <c r="B293" s="74"/>
    </row>
    <row r="294" spans="2:2">
      <c r="B294" s="74"/>
    </row>
    <row r="295" spans="2:2">
      <c r="B295" s="74"/>
    </row>
    <row r="296" spans="2:2">
      <c r="B296" s="74"/>
    </row>
    <row r="297" spans="2:2">
      <c r="B297" s="74"/>
    </row>
    <row r="298" spans="2:2">
      <c r="B298" s="74"/>
    </row>
    <row r="299" spans="2:2">
      <c r="B299" s="74"/>
    </row>
    <row r="300" spans="2:2">
      <c r="B300" s="74"/>
    </row>
    <row r="301" spans="2:2">
      <c r="B301" s="74"/>
    </row>
    <row r="302" spans="2:2">
      <c r="B302" s="74"/>
    </row>
    <row r="303" spans="2:2">
      <c r="B303" s="74"/>
    </row>
    <row r="304" spans="2:2">
      <c r="B304" s="74"/>
    </row>
    <row r="305" spans="2:2">
      <c r="B305" s="74"/>
    </row>
    <row r="306" spans="2:2">
      <c r="B306" s="74"/>
    </row>
    <row r="307" spans="2:2">
      <c r="B307" s="74"/>
    </row>
    <row r="308" spans="2:2">
      <c r="B308" s="74"/>
    </row>
    <row r="309" spans="2:2">
      <c r="B309" s="74"/>
    </row>
    <row r="310" spans="2:2">
      <c r="B310" s="74"/>
    </row>
    <row r="311" spans="2:2">
      <c r="B311" s="74"/>
    </row>
    <row r="312" spans="2:2">
      <c r="B312" s="74"/>
    </row>
    <row r="313" spans="2:2">
      <c r="B313" s="74"/>
    </row>
    <row r="314" spans="2:2">
      <c r="B314" s="74"/>
    </row>
    <row r="315" spans="2:2">
      <c r="B315" s="74"/>
    </row>
    <row r="316" spans="2:2">
      <c r="B316" s="74"/>
    </row>
    <row r="317" spans="2:2">
      <c r="B317" s="74"/>
    </row>
    <row r="318" spans="2:2">
      <c r="B318" s="74"/>
    </row>
    <row r="319" spans="2:2">
      <c r="B319" s="74"/>
    </row>
    <row r="320" spans="2:2">
      <c r="B320" s="74"/>
    </row>
    <row r="321" spans="2:2">
      <c r="B321" s="74"/>
    </row>
    <row r="322" spans="2:2">
      <c r="B322" s="74"/>
    </row>
    <row r="323" spans="2:2">
      <c r="B323" s="74"/>
    </row>
    <row r="324" spans="2:2">
      <c r="B324" s="74"/>
    </row>
    <row r="325" spans="2:2">
      <c r="B325" s="74"/>
    </row>
    <row r="326" spans="2:2">
      <c r="B326" s="74"/>
    </row>
    <row r="327" spans="2:2">
      <c r="B327" s="74"/>
    </row>
    <row r="328" spans="2:2">
      <c r="B328" s="74"/>
    </row>
    <row r="329" spans="2:2">
      <c r="B329" s="74"/>
    </row>
    <row r="330" spans="2:2">
      <c r="B330" s="74"/>
    </row>
    <row r="331" spans="2:2">
      <c r="B331" s="74"/>
    </row>
    <row r="332" spans="2:2">
      <c r="B332" s="74"/>
    </row>
    <row r="333" spans="2:2">
      <c r="B333" s="74"/>
    </row>
    <row r="334" spans="2:2">
      <c r="B334" s="74"/>
    </row>
    <row r="335" spans="2:2">
      <c r="B335" s="74"/>
    </row>
    <row r="336" spans="2:2">
      <c r="B336" s="74"/>
    </row>
    <row r="337" spans="2:2">
      <c r="B337" s="74"/>
    </row>
    <row r="338" spans="2:2">
      <c r="B338" s="74"/>
    </row>
    <row r="339" spans="2:2">
      <c r="B339" s="74"/>
    </row>
    <row r="340" spans="2:2">
      <c r="B340" s="74"/>
    </row>
    <row r="341" spans="2:2">
      <c r="B341" s="74"/>
    </row>
    <row r="342" spans="2:2">
      <c r="B342" s="74"/>
    </row>
    <row r="343" spans="2:2">
      <c r="B343" s="74"/>
    </row>
    <row r="344" spans="2:2">
      <c r="B344" s="74"/>
    </row>
    <row r="345" spans="2:2">
      <c r="B345" s="74"/>
    </row>
    <row r="346" spans="2:2">
      <c r="B346" s="74"/>
    </row>
    <row r="347" spans="2:2">
      <c r="B347" s="74"/>
    </row>
    <row r="348" spans="2:2">
      <c r="B348" s="74"/>
    </row>
    <row r="349" spans="2:2">
      <c r="B349" s="74"/>
    </row>
    <row r="350" spans="2:2">
      <c r="B350" s="74"/>
    </row>
    <row r="351" spans="2:2">
      <c r="B351" s="74"/>
    </row>
    <row r="352" spans="2:2">
      <c r="B352" s="74"/>
    </row>
    <row r="353" spans="2:2">
      <c r="B353" s="74"/>
    </row>
    <row r="354" spans="2:2">
      <c r="B354" s="74"/>
    </row>
    <row r="355" spans="2:2">
      <c r="B355" s="74"/>
    </row>
    <row r="356" spans="2:2">
      <c r="B356" s="74"/>
    </row>
    <row r="357" spans="2:2">
      <c r="B357" s="74"/>
    </row>
    <row r="358" spans="2:2">
      <c r="B358" s="74"/>
    </row>
    <row r="359" spans="2:2">
      <c r="B359" s="74"/>
    </row>
    <row r="360" spans="2:2">
      <c r="B360" s="74"/>
    </row>
    <row r="361" spans="2:2">
      <c r="B361" s="74"/>
    </row>
    <row r="362" spans="2:2">
      <c r="B362" s="74"/>
    </row>
    <row r="363" spans="2:2">
      <c r="B363" s="74"/>
    </row>
    <row r="364" spans="2:2">
      <c r="B364" s="74"/>
    </row>
    <row r="365" spans="2:2">
      <c r="B365" s="74"/>
    </row>
    <row r="366" spans="2:2">
      <c r="B366" s="74"/>
    </row>
    <row r="367" spans="2:2">
      <c r="B367" s="74"/>
    </row>
    <row r="368" spans="2:2">
      <c r="B368" s="74"/>
    </row>
    <row r="369" spans="2:2">
      <c r="B369" s="74"/>
    </row>
  </sheetData>
  <mergeCells count="20">
    <mergeCell ref="G146:H146"/>
    <mergeCell ref="G147:H147"/>
    <mergeCell ref="A124:B124"/>
    <mergeCell ref="A119:B119"/>
    <mergeCell ref="A120:B120"/>
    <mergeCell ref="B2:F2"/>
    <mergeCell ref="D146:E146"/>
    <mergeCell ref="D147:E147"/>
    <mergeCell ref="A33:B33"/>
    <mergeCell ref="A34:B34"/>
    <mergeCell ref="A35:B35"/>
    <mergeCell ref="A54:B54"/>
    <mergeCell ref="A91:B91"/>
    <mergeCell ref="A92:B92"/>
    <mergeCell ref="A98:B98"/>
    <mergeCell ref="A6:B6"/>
    <mergeCell ref="A7:B7"/>
    <mergeCell ref="A12:B12"/>
    <mergeCell ref="A29:B29"/>
    <mergeCell ref="A27:B27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AB596"/>
  <sheetViews>
    <sheetView view="pageBreakPreview" zoomScale="60" zoomScaleNormal="70" workbookViewId="0">
      <selection activeCell="J27" sqref="J27"/>
    </sheetView>
  </sheetViews>
  <sheetFormatPr defaultRowHeight="18.75"/>
  <cols>
    <col min="1" max="1" width="14.7109375" style="30" bestFit="1" customWidth="1"/>
    <col min="2" max="2" width="106.140625" style="30" customWidth="1"/>
    <col min="3" max="3" width="14.140625" style="77" customWidth="1"/>
    <col min="4" max="4" width="16.140625" style="77" customWidth="1"/>
    <col min="5" max="5" width="16.7109375" style="77" customWidth="1"/>
    <col min="6" max="6" width="16.140625" style="77" customWidth="1"/>
    <col min="7" max="7" width="16.140625" style="30" customWidth="1"/>
    <col min="8" max="8" width="16.42578125" style="30" customWidth="1"/>
    <col min="9" max="9" width="15.28515625" style="30" customWidth="1"/>
    <col min="10" max="10" width="3.42578125" style="30" customWidth="1"/>
    <col min="11" max="14" width="9.140625" style="30" hidden="1" customWidth="1"/>
    <col min="15" max="15" width="3.7109375" style="30" customWidth="1"/>
    <col min="16" max="16" width="6.85546875" style="30" customWidth="1"/>
    <col min="17" max="17" width="4.28515625" style="30" customWidth="1"/>
    <col min="18" max="18" width="5.5703125" style="30" customWidth="1"/>
    <col min="19" max="19" width="2.42578125" style="30" customWidth="1"/>
    <col min="20" max="20" width="7.140625" style="30" customWidth="1"/>
    <col min="21" max="21" width="9.140625" style="30"/>
    <col min="22" max="22" width="17.42578125" style="30" customWidth="1"/>
    <col min="23" max="23" width="16.7109375" style="30" customWidth="1"/>
    <col min="24" max="24" width="16.28515625" style="30" customWidth="1"/>
    <col min="25" max="25" width="17" style="30" customWidth="1"/>
    <col min="26" max="26" width="19.42578125" style="30" customWidth="1"/>
    <col min="27" max="27" width="21.42578125" style="30" customWidth="1"/>
    <col min="28" max="16384" width="9.140625" style="30"/>
  </cols>
  <sheetData>
    <row r="2" spans="1:28" ht="22.5" customHeight="1">
      <c r="B2" s="288" t="s">
        <v>125</v>
      </c>
      <c r="C2" s="288"/>
      <c r="D2" s="288"/>
      <c r="E2" s="288"/>
      <c r="F2" s="288"/>
      <c r="G2" s="288"/>
      <c r="H2" s="288"/>
    </row>
    <row r="3" spans="1:28">
      <c r="B3" s="67"/>
      <c r="C3" s="68"/>
      <c r="D3" s="67"/>
      <c r="E3" s="67"/>
      <c r="F3" s="67"/>
      <c r="H3" s="30" t="s">
        <v>65</v>
      </c>
    </row>
    <row r="4" spans="1:28" ht="75" customHeight="1">
      <c r="A4" s="69" t="s">
        <v>75</v>
      </c>
      <c r="B4" s="69" t="s">
        <v>24</v>
      </c>
      <c r="C4" s="70" t="s">
        <v>5</v>
      </c>
      <c r="D4" s="61" t="s">
        <v>144</v>
      </c>
      <c r="E4" s="70" t="s">
        <v>142</v>
      </c>
      <c r="F4" s="70" t="s">
        <v>143</v>
      </c>
      <c r="G4" s="61" t="s">
        <v>115</v>
      </c>
      <c r="H4" s="61" t="s">
        <v>118</v>
      </c>
    </row>
    <row r="5" spans="1:28" ht="30.75" customHeight="1">
      <c r="A5" s="71">
        <v>1</v>
      </c>
      <c r="B5" s="71">
        <v>2</v>
      </c>
      <c r="C5" s="61">
        <v>3</v>
      </c>
      <c r="D5" s="61">
        <v>4</v>
      </c>
      <c r="E5" s="61">
        <v>5</v>
      </c>
      <c r="F5" s="61">
        <v>6</v>
      </c>
      <c r="G5" s="71">
        <v>7</v>
      </c>
      <c r="H5" s="71">
        <v>8</v>
      </c>
    </row>
    <row r="6" spans="1:28" ht="30.75" customHeight="1">
      <c r="A6" s="297" t="s">
        <v>80</v>
      </c>
      <c r="B6" s="298"/>
      <c r="C6" s="61"/>
      <c r="D6" s="126">
        <f>SUM(D7,D41,D46,D53,D109,D142,D179,D212,D220,D225,D258,D268,D273,D277,D287,D293,D297,D318,D352,D360,D364)</f>
        <v>33208.400000000001</v>
      </c>
      <c r="E6" s="126">
        <f t="shared" ref="E6:F6" si="0">SUM(E7,E41,E46,E53,E109,E142,E179,E212,E220,E225,E258,E268,E273,E277,E287,E293,E297,E318,E352,E360,E364)</f>
        <v>44087.000000000007</v>
      </c>
      <c r="F6" s="126">
        <f t="shared" si="0"/>
        <v>49155.200000000012</v>
      </c>
      <c r="G6" s="72">
        <f>F6-E6</f>
        <v>5068.2000000000044</v>
      </c>
      <c r="H6" s="72">
        <f>F6/E6*100</f>
        <v>111.4959058225781</v>
      </c>
      <c r="R6" s="133"/>
      <c r="V6" s="296" t="s">
        <v>357</v>
      </c>
      <c r="W6" s="296" t="s">
        <v>356</v>
      </c>
      <c r="X6" s="296" t="s">
        <v>358</v>
      </c>
      <c r="Y6" s="74"/>
    </row>
    <row r="7" spans="1:28" ht="30.75" customHeight="1">
      <c r="A7" s="157" t="s">
        <v>81</v>
      </c>
      <c r="B7" s="158" t="s">
        <v>126</v>
      </c>
      <c r="C7" s="157"/>
      <c r="D7" s="140">
        <f>SUM(D9,D28,D36)</f>
        <v>11968.1</v>
      </c>
      <c r="E7" s="140">
        <f t="shared" ref="E7:F7" si="1">SUM(E9,E28,E36)</f>
        <v>34707.9</v>
      </c>
      <c r="F7" s="140">
        <f t="shared" si="1"/>
        <v>32690.100000000002</v>
      </c>
      <c r="G7" s="128">
        <f>F7-E7</f>
        <v>-2017.7999999999993</v>
      </c>
      <c r="H7" s="128">
        <f>(F7/E7)*100</f>
        <v>94.186337980690283</v>
      </c>
      <c r="I7" s="134"/>
      <c r="R7" s="133"/>
      <c r="V7" s="296"/>
      <c r="W7" s="296"/>
      <c r="X7" s="296"/>
      <c r="Y7" s="74"/>
    </row>
    <row r="8" spans="1:28" ht="24.75" customHeight="1">
      <c r="A8" s="159"/>
      <c r="B8" s="160" t="s">
        <v>82</v>
      </c>
      <c r="C8" s="161"/>
      <c r="D8" s="139"/>
      <c r="E8" s="139"/>
      <c r="F8" s="139"/>
      <c r="G8" s="128"/>
      <c r="H8" s="128"/>
      <c r="R8" s="133"/>
    </row>
    <row r="9" spans="1:28" ht="33" customHeight="1">
      <c r="A9" s="162" t="s">
        <v>83</v>
      </c>
      <c r="B9" s="163" t="s">
        <v>86</v>
      </c>
      <c r="C9" s="164">
        <v>1010</v>
      </c>
      <c r="D9" s="141">
        <f>D10+D15+D16+D17+D18</f>
        <v>10652</v>
      </c>
      <c r="E9" s="141">
        <f>E10+E15+E16+E17+E18</f>
        <v>32269.4</v>
      </c>
      <c r="F9" s="141">
        <f>F10+F15+F16+F17+F18</f>
        <v>30066.100000000002</v>
      </c>
      <c r="G9" s="152">
        <f t="shared" ref="G9:G218" si="2">F9-E9</f>
        <v>-2203.2999999999993</v>
      </c>
      <c r="H9" s="152">
        <f t="shared" ref="H9:H177" si="3">(F9/E9)*100</f>
        <v>93.172169299708088</v>
      </c>
      <c r="R9" s="133"/>
      <c r="U9" s="73">
        <v>1010</v>
      </c>
      <c r="V9" s="137">
        <f>SUM(D9,D43,D48,D55,D111,D144,D181,D214,D222,D227,D260,D270,D274,D278,D298,D320,D354,D366)</f>
        <v>30044.000000000007</v>
      </c>
      <c r="W9" s="137">
        <f t="shared" ref="W9:X9" si="4">SUM(E9,E43,E48,E55,E111,E144,E181,E214,E222,E227,E260,E270,E274,E278,E298,E320,E354,E366)</f>
        <v>41358.600000000006</v>
      </c>
      <c r="X9" s="137">
        <f t="shared" si="4"/>
        <v>45999.000000000015</v>
      </c>
      <c r="Y9" s="93"/>
      <c r="Z9" s="93"/>
      <c r="AA9" s="93"/>
    </row>
    <row r="10" spans="1:28" ht="33.75" customHeight="1">
      <c r="A10" s="165" t="s">
        <v>146</v>
      </c>
      <c r="B10" s="166" t="s">
        <v>109</v>
      </c>
      <c r="C10" s="167">
        <v>1011</v>
      </c>
      <c r="D10" s="140">
        <f>SUM(D11:D14)</f>
        <v>512.80000000000007</v>
      </c>
      <c r="E10" s="140">
        <f>SUM(E11:E14)</f>
        <v>877.60000000000014</v>
      </c>
      <c r="F10" s="140">
        <f>SUM(F11:F14)</f>
        <v>2279.4999999999995</v>
      </c>
      <c r="G10" s="128">
        <f t="shared" si="2"/>
        <v>1401.8999999999994</v>
      </c>
      <c r="H10" s="128">
        <f t="shared" si="3"/>
        <v>259.74247948951677</v>
      </c>
      <c r="R10" s="133"/>
      <c r="U10" s="30">
        <v>1011</v>
      </c>
      <c r="V10" s="93">
        <f>SUM(D10,D49,D56,D112,D145,D182,D215,D228,D261,D299,D321,)</f>
        <v>4296</v>
      </c>
      <c r="W10" s="93">
        <f t="shared" ref="W10:X10" si="5">SUM(E10,E49,E56,E112,E145,E182,E215,E228,E261,E299,E321,)</f>
        <v>4698.3999999999996</v>
      </c>
      <c r="X10" s="93">
        <f t="shared" si="5"/>
        <v>8638.7999999999993</v>
      </c>
    </row>
    <row r="11" spans="1:28" ht="30" customHeight="1">
      <c r="A11" s="168"/>
      <c r="B11" s="169" t="s">
        <v>147</v>
      </c>
      <c r="C11" s="170"/>
      <c r="D11" s="139">
        <v>499.6</v>
      </c>
      <c r="E11" s="139">
        <v>660.7</v>
      </c>
      <c r="F11" s="139">
        <v>2153.1999999999998</v>
      </c>
      <c r="G11" s="153">
        <f t="shared" si="2"/>
        <v>1492.4999999999998</v>
      </c>
      <c r="H11" s="153">
        <f t="shared" si="3"/>
        <v>325.89677614651123</v>
      </c>
      <c r="R11" s="133"/>
      <c r="U11" s="30">
        <v>1012</v>
      </c>
      <c r="V11" s="93">
        <f>SUM(D15,D44,D187,D223,D236,)</f>
        <v>18214.900000000001</v>
      </c>
      <c r="W11" s="93">
        <f t="shared" ref="W11:X11" si="6">SUM(E15,E44,E187,E223,E236,)</f>
        <v>27423</v>
      </c>
      <c r="X11" s="93">
        <f t="shared" si="6"/>
        <v>27262.2</v>
      </c>
    </row>
    <row r="12" spans="1:28" ht="28.5" customHeight="1">
      <c r="A12" s="168"/>
      <c r="B12" s="169" t="s">
        <v>148</v>
      </c>
      <c r="C12" s="170"/>
      <c r="D12" s="139">
        <v>13.2</v>
      </c>
      <c r="E12" s="139">
        <v>100.5</v>
      </c>
      <c r="F12" s="139">
        <v>113.7</v>
      </c>
      <c r="G12" s="153">
        <f t="shared" si="2"/>
        <v>13.200000000000003</v>
      </c>
      <c r="H12" s="153">
        <f t="shared" si="3"/>
        <v>113.13432835820896</v>
      </c>
      <c r="R12" s="133"/>
      <c r="U12" s="30">
        <v>1013</v>
      </c>
      <c r="V12" s="93">
        <f>SUM(D16,D45,D188,D224,D237,)</f>
        <v>3893.7000000000003</v>
      </c>
      <c r="W12" s="93">
        <f t="shared" ref="W12:X12" si="7">SUM(E16,E45,E188,E224,E237,)</f>
        <v>5857.3</v>
      </c>
      <c r="X12" s="93">
        <f t="shared" si="7"/>
        <v>5764.5999999999995</v>
      </c>
    </row>
    <row r="13" spans="1:28" ht="28.5" customHeight="1">
      <c r="A13" s="168"/>
      <c r="B13" s="169" t="s">
        <v>150</v>
      </c>
      <c r="C13" s="170"/>
      <c r="D13" s="139"/>
      <c r="E13" s="139">
        <v>12.7</v>
      </c>
      <c r="F13" s="139">
        <v>12.6</v>
      </c>
      <c r="G13" s="153">
        <f t="shared" si="2"/>
        <v>-9.9999999999999645E-2</v>
      </c>
      <c r="H13" s="153">
        <f t="shared" si="3"/>
        <v>99.212598425196859</v>
      </c>
      <c r="R13" s="133"/>
      <c r="U13" s="30">
        <v>1014</v>
      </c>
      <c r="V13" s="93">
        <f>SUM(D17,D66,D328,D367)</f>
        <v>638.70000000000005</v>
      </c>
      <c r="W13" s="93">
        <f t="shared" ref="W13:X13" si="8">SUM(E17,E66,E328,E367)</f>
        <v>0</v>
      </c>
      <c r="X13" s="93">
        <f t="shared" si="8"/>
        <v>892.1</v>
      </c>
    </row>
    <row r="14" spans="1:28" ht="28.5" customHeight="1">
      <c r="A14" s="168"/>
      <c r="B14" s="169" t="s">
        <v>151</v>
      </c>
      <c r="C14" s="170"/>
      <c r="D14" s="139"/>
      <c r="E14" s="139">
        <v>103.7</v>
      </c>
      <c r="F14" s="139"/>
      <c r="G14" s="153">
        <f t="shared" si="2"/>
        <v>-103.7</v>
      </c>
      <c r="H14" s="153">
        <f t="shared" si="3"/>
        <v>0</v>
      </c>
      <c r="R14" s="133"/>
      <c r="U14" s="30">
        <v>1015</v>
      </c>
      <c r="V14" s="93">
        <f>SUM(D18,D67,D118,D151,D189,D238,D271,D275,D279,D306,D329,D355,)</f>
        <v>3000.7000000000003</v>
      </c>
      <c r="W14" s="93">
        <f t="shared" ref="W14:X14" si="9">SUM(E18,E67,E118,E151,E189,E238,E271,E275,E279,E306,E329,E355,)</f>
        <v>3379.9000000000005</v>
      </c>
      <c r="X14" s="93">
        <f t="shared" si="9"/>
        <v>3441.2999999999997</v>
      </c>
    </row>
    <row r="15" spans="1:28" ht="31.5" customHeight="1">
      <c r="A15" s="165" t="s">
        <v>152</v>
      </c>
      <c r="B15" s="166" t="s">
        <v>2</v>
      </c>
      <c r="C15" s="171">
        <v>1012</v>
      </c>
      <c r="D15" s="140">
        <v>8332.6</v>
      </c>
      <c r="E15" s="140">
        <v>25404.400000000001</v>
      </c>
      <c r="F15" s="140">
        <v>22618.9</v>
      </c>
      <c r="G15" s="128">
        <f t="shared" si="2"/>
        <v>-2785.5</v>
      </c>
      <c r="H15" s="128">
        <f t="shared" si="3"/>
        <v>89.035363952701104</v>
      </c>
      <c r="R15" s="133"/>
      <c r="U15" s="73">
        <v>1020</v>
      </c>
      <c r="V15" s="137">
        <f>SUM(D28,D87,D127,D157,D193,D246,D294,D311,D336,D357)</f>
        <v>2647.5999999999995</v>
      </c>
      <c r="W15" s="137">
        <f t="shared" ref="W15" si="10">SUM(E28,E87,E127,E157,E193,E246,E294,E311,E336,E357)</f>
        <v>2483.6</v>
      </c>
      <c r="X15" s="137">
        <f>SUM(X16:X20)</f>
        <v>2856.8</v>
      </c>
      <c r="Y15" s="93"/>
      <c r="Z15" s="93"/>
      <c r="AA15" s="93"/>
      <c r="AB15" s="93"/>
    </row>
    <row r="16" spans="1:28" ht="30" customHeight="1">
      <c r="A16" s="165" t="s">
        <v>153</v>
      </c>
      <c r="B16" s="166" t="s">
        <v>3</v>
      </c>
      <c r="C16" s="171">
        <v>1013</v>
      </c>
      <c r="D16" s="140">
        <v>1788.9</v>
      </c>
      <c r="E16" s="140">
        <v>5438.7</v>
      </c>
      <c r="F16" s="140">
        <v>4768.3999999999996</v>
      </c>
      <c r="G16" s="128">
        <f t="shared" si="2"/>
        <v>-670.30000000000018</v>
      </c>
      <c r="H16" s="128">
        <f t="shared" si="3"/>
        <v>87.675363597918619</v>
      </c>
      <c r="R16" s="133"/>
      <c r="U16" s="30">
        <v>1021</v>
      </c>
      <c r="V16" s="93">
        <v>102.7</v>
      </c>
      <c r="W16" s="93">
        <f t="shared" ref="W16:X16" si="11">SUM(E88,E158,E194,E337,)</f>
        <v>35.5</v>
      </c>
      <c r="X16" s="93">
        <f t="shared" si="11"/>
        <v>15.2</v>
      </c>
    </row>
    <row r="17" spans="1:27" ht="30" customHeight="1">
      <c r="A17" s="165" t="s">
        <v>154</v>
      </c>
      <c r="B17" s="166" t="s">
        <v>4</v>
      </c>
      <c r="C17" s="171">
        <v>1014</v>
      </c>
      <c r="D17" s="140"/>
      <c r="E17" s="140"/>
      <c r="F17" s="140">
        <v>5.8</v>
      </c>
      <c r="G17" s="128">
        <f t="shared" si="2"/>
        <v>5.8</v>
      </c>
      <c r="H17" s="128"/>
      <c r="R17" s="133"/>
      <c r="U17" s="30">
        <v>1022</v>
      </c>
      <c r="V17" s="93">
        <f>SUM(D29,D198,)</f>
        <v>1947.6999999999998</v>
      </c>
      <c r="W17" s="93">
        <f>SUM(E29,E198,)</f>
        <v>1892.4</v>
      </c>
      <c r="X17" s="93">
        <f>SUM(F29,F198,)</f>
        <v>1956.4</v>
      </c>
    </row>
    <row r="18" spans="1:27" ht="33.75" customHeight="1">
      <c r="A18" s="165" t="s">
        <v>155</v>
      </c>
      <c r="B18" s="166" t="s">
        <v>156</v>
      </c>
      <c r="C18" s="171">
        <v>1015</v>
      </c>
      <c r="D18" s="140">
        <f>SUM(D19:D27)</f>
        <v>17.7</v>
      </c>
      <c r="E18" s="140">
        <f>SUM(E19:E27)</f>
        <v>548.70000000000005</v>
      </c>
      <c r="F18" s="140">
        <f>SUM(F19:F27)</f>
        <v>393.5</v>
      </c>
      <c r="G18" s="128">
        <f t="shared" si="2"/>
        <v>-155.20000000000005</v>
      </c>
      <c r="H18" s="128">
        <f t="shared" si="3"/>
        <v>71.71496263896482</v>
      </c>
      <c r="R18" s="133"/>
      <c r="U18" s="30">
        <v>1023</v>
      </c>
      <c r="V18" s="93">
        <f>SUM(D30,D199)</f>
        <v>433.5</v>
      </c>
      <c r="W18" s="93">
        <f t="shared" ref="W18:X18" si="12">SUM(E30,E199)</f>
        <v>417.9</v>
      </c>
      <c r="X18" s="93">
        <f t="shared" si="12"/>
        <v>433.7</v>
      </c>
    </row>
    <row r="19" spans="1:27" ht="24.75" customHeight="1">
      <c r="A19" s="168"/>
      <c r="B19" s="172" t="s">
        <v>157</v>
      </c>
      <c r="C19" s="170"/>
      <c r="D19" s="139"/>
      <c r="E19" s="139">
        <v>28.9</v>
      </c>
      <c r="F19" s="139">
        <v>16.600000000000001</v>
      </c>
      <c r="G19" s="153">
        <f t="shared" si="2"/>
        <v>-12.299999999999997</v>
      </c>
      <c r="H19" s="153">
        <f t="shared" si="3"/>
        <v>57.439446366782008</v>
      </c>
      <c r="R19" s="133"/>
      <c r="U19" s="30">
        <v>1024</v>
      </c>
      <c r="V19" s="92"/>
      <c r="W19" s="92"/>
      <c r="X19" s="118">
        <f>SUM(F370)</f>
        <v>346.3</v>
      </c>
    </row>
    <row r="20" spans="1:27" ht="31.5" customHeight="1">
      <c r="A20" s="168"/>
      <c r="B20" s="169" t="s">
        <v>158</v>
      </c>
      <c r="C20" s="170"/>
      <c r="D20" s="139"/>
      <c r="E20" s="139">
        <v>89.4</v>
      </c>
      <c r="F20" s="139">
        <v>114.6</v>
      </c>
      <c r="G20" s="153">
        <f t="shared" si="2"/>
        <v>25.199999999999989</v>
      </c>
      <c r="H20" s="153">
        <f t="shared" si="3"/>
        <v>128.18791946308724</v>
      </c>
      <c r="R20" s="133"/>
      <c r="U20" s="30">
        <v>1025</v>
      </c>
      <c r="V20" s="93">
        <f>SUM(D31,D93,D128,D161,D200,D247,D312,D341,D358)</f>
        <v>163.69999999999999</v>
      </c>
      <c r="W20" s="93">
        <f t="shared" ref="W20:X20" si="13">SUM(E31,E93,E128,E161,E200,E247,E312,E341,E358)</f>
        <v>137.79999999999998</v>
      </c>
      <c r="X20" s="93">
        <f t="shared" si="13"/>
        <v>105.19999999999999</v>
      </c>
      <c r="Y20" s="93"/>
    </row>
    <row r="21" spans="1:27" ht="26.25" customHeight="1">
      <c r="A21" s="168"/>
      <c r="B21" s="169" t="s">
        <v>159</v>
      </c>
      <c r="C21" s="170"/>
      <c r="D21" s="139"/>
      <c r="E21" s="139">
        <v>23.7</v>
      </c>
      <c r="F21" s="139">
        <v>23.8</v>
      </c>
      <c r="G21" s="153">
        <f t="shared" si="2"/>
        <v>0.10000000000000142</v>
      </c>
      <c r="H21" s="153">
        <f t="shared" si="3"/>
        <v>100.42194092827006</v>
      </c>
      <c r="R21" s="133"/>
      <c r="U21" s="73">
        <v>1030</v>
      </c>
      <c r="V21" s="137">
        <f>SUM(D36,D102,D131,D173,D204,D252,D281,D288,D315,D361,)</f>
        <v>516.79999999999984</v>
      </c>
      <c r="W21" s="137">
        <f t="shared" ref="W21:X21" si="14">SUM(E36,E102,E131,E173,E204,E252,E281,E288,E315,E361,)</f>
        <v>244.8</v>
      </c>
      <c r="X21" s="137">
        <f t="shared" si="14"/>
        <v>299.39999999999998</v>
      </c>
      <c r="Y21" s="93"/>
      <c r="Z21" s="93"/>
      <c r="AA21" s="93"/>
    </row>
    <row r="22" spans="1:27" ht="24" customHeight="1">
      <c r="A22" s="168"/>
      <c r="B22" s="169" t="s">
        <v>160</v>
      </c>
      <c r="C22" s="170"/>
      <c r="D22" s="139"/>
      <c r="E22" s="139">
        <v>13.5</v>
      </c>
      <c r="F22" s="139">
        <v>18</v>
      </c>
      <c r="G22" s="153">
        <f t="shared" si="2"/>
        <v>4.5</v>
      </c>
      <c r="H22" s="153">
        <f t="shared" si="3"/>
        <v>133.33333333333331</v>
      </c>
      <c r="R22" s="133"/>
      <c r="U22" s="30">
        <v>1031</v>
      </c>
      <c r="V22" s="93">
        <f>SUM(D132,D205,)</f>
        <v>175.1</v>
      </c>
      <c r="W22" s="93">
        <f t="shared" ref="W22:X22" si="15">SUM(E132,E205,)</f>
        <v>0</v>
      </c>
      <c r="X22" s="93">
        <f t="shared" si="15"/>
        <v>0</v>
      </c>
    </row>
    <row r="23" spans="1:27" ht="26.25" customHeight="1">
      <c r="A23" s="168"/>
      <c r="B23" s="169" t="s">
        <v>161</v>
      </c>
      <c r="C23" s="170"/>
      <c r="D23" s="139"/>
      <c r="E23" s="139">
        <v>146.9</v>
      </c>
      <c r="F23" s="139">
        <v>137</v>
      </c>
      <c r="G23" s="153">
        <f t="shared" si="2"/>
        <v>-9.9000000000000057</v>
      </c>
      <c r="H23" s="153">
        <f t="shared" si="3"/>
        <v>93.260721579305653</v>
      </c>
      <c r="R23" s="133"/>
      <c r="U23" s="30">
        <v>1032</v>
      </c>
      <c r="V23" s="93">
        <f>SUM(D37,D208,)</f>
        <v>170.3</v>
      </c>
      <c r="W23" s="93">
        <f t="shared" ref="W23:X23" si="16">SUM(E37,E208,)</f>
        <v>63</v>
      </c>
      <c r="X23" s="93">
        <f t="shared" si="16"/>
        <v>157.6</v>
      </c>
    </row>
    <row r="24" spans="1:27" ht="26.25" customHeight="1">
      <c r="A24" s="168"/>
      <c r="B24" s="169" t="s">
        <v>162</v>
      </c>
      <c r="C24" s="170"/>
      <c r="D24" s="139"/>
      <c r="E24" s="139">
        <v>164</v>
      </c>
      <c r="F24" s="139">
        <f>29+14.9-16.8</f>
        <v>27.099999999999998</v>
      </c>
      <c r="G24" s="153">
        <f t="shared" si="2"/>
        <v>-136.9</v>
      </c>
      <c r="H24" s="153">
        <f t="shared" si="3"/>
        <v>16.524390243902438</v>
      </c>
      <c r="R24" s="133"/>
      <c r="U24" s="30">
        <v>1033</v>
      </c>
      <c r="V24" s="93">
        <f>SUM(D38,D209)</f>
        <v>31.3</v>
      </c>
      <c r="W24" s="93">
        <f t="shared" ref="W24:X24" si="17">SUM(E38,E209)</f>
        <v>48.4</v>
      </c>
      <c r="X24" s="93">
        <f t="shared" si="17"/>
        <v>55.8</v>
      </c>
    </row>
    <row r="25" spans="1:27" ht="27.75" customHeight="1">
      <c r="A25" s="168"/>
      <c r="B25" s="169" t="s">
        <v>163</v>
      </c>
      <c r="C25" s="170"/>
      <c r="D25" s="139"/>
      <c r="E25" s="139">
        <v>59.1</v>
      </c>
      <c r="F25" s="139">
        <v>23.5</v>
      </c>
      <c r="G25" s="153">
        <f t="shared" si="2"/>
        <v>-35.6</v>
      </c>
      <c r="H25" s="153">
        <f t="shared" si="3"/>
        <v>39.763113367174277</v>
      </c>
      <c r="R25" s="133"/>
      <c r="U25" s="30">
        <v>1035</v>
      </c>
      <c r="V25" s="93">
        <f>SUM(D39,D103,D135,D174,D210,D253,D282,D289,D316,D362)</f>
        <v>140.1</v>
      </c>
      <c r="W25" s="93">
        <f t="shared" ref="W25:X25" si="18">SUM(E39,E103,E135,E174,E210,E253,E282,E289,E316,E362)</f>
        <v>133.4</v>
      </c>
      <c r="X25" s="93">
        <f t="shared" si="18"/>
        <v>86</v>
      </c>
    </row>
    <row r="26" spans="1:27" ht="30" customHeight="1">
      <c r="A26" s="168"/>
      <c r="B26" s="172" t="s">
        <v>164</v>
      </c>
      <c r="C26" s="170"/>
      <c r="D26" s="139">
        <v>13.6</v>
      </c>
      <c r="E26" s="139">
        <v>17.2</v>
      </c>
      <c r="F26" s="139">
        <v>23</v>
      </c>
      <c r="G26" s="153">
        <f t="shared" si="2"/>
        <v>5.8000000000000007</v>
      </c>
      <c r="H26" s="153">
        <f t="shared" si="3"/>
        <v>133.72093023255815</v>
      </c>
      <c r="R26" s="133"/>
    </row>
    <row r="27" spans="1:27" ht="27.75" customHeight="1">
      <c r="A27" s="168"/>
      <c r="B27" s="169" t="s">
        <v>165</v>
      </c>
      <c r="C27" s="170"/>
      <c r="D27" s="139">
        <v>4.0999999999999996</v>
      </c>
      <c r="E27" s="139">
        <v>6</v>
      </c>
      <c r="F27" s="139">
        <v>9.9</v>
      </c>
      <c r="G27" s="153">
        <f t="shared" si="2"/>
        <v>3.9000000000000004</v>
      </c>
      <c r="H27" s="153">
        <f t="shared" si="3"/>
        <v>165</v>
      </c>
      <c r="R27" s="133"/>
      <c r="U27" s="94">
        <v>9000</v>
      </c>
      <c r="V27" s="93">
        <f>SUM(V10,V16,V22)</f>
        <v>4573.8</v>
      </c>
      <c r="W27" s="93">
        <f t="shared" ref="W27:X27" si="19">SUM(W10,W16,W22)</f>
        <v>4733.8999999999996</v>
      </c>
      <c r="X27" s="93">
        <f t="shared" si="19"/>
        <v>8654</v>
      </c>
    </row>
    <row r="28" spans="1:27" ht="27.75" customHeight="1">
      <c r="A28" s="162" t="s">
        <v>84</v>
      </c>
      <c r="B28" s="173" t="s">
        <v>88</v>
      </c>
      <c r="C28" s="164">
        <v>1020</v>
      </c>
      <c r="D28" s="141">
        <f>D29+D30+D31</f>
        <v>1201.3999999999999</v>
      </c>
      <c r="E28" s="141">
        <f>E29+E30+E31</f>
        <v>2327.1000000000004</v>
      </c>
      <c r="F28" s="141">
        <f>F29+F30+F31</f>
        <v>2410.6</v>
      </c>
      <c r="G28" s="152">
        <f t="shared" si="2"/>
        <v>83.499999999999545</v>
      </c>
      <c r="H28" s="152">
        <f t="shared" si="3"/>
        <v>103.58815693352238</v>
      </c>
      <c r="R28" s="133"/>
      <c r="U28" s="94">
        <v>9010</v>
      </c>
      <c r="V28" s="93">
        <f>SUM(V11,V17,V23)</f>
        <v>20332.900000000001</v>
      </c>
      <c r="W28" s="93">
        <f t="shared" ref="W28:X28" si="20">SUM(W11,W17,W23)</f>
        <v>29378.400000000001</v>
      </c>
      <c r="X28" s="93">
        <f t="shared" si="20"/>
        <v>29376.2</v>
      </c>
    </row>
    <row r="29" spans="1:27" ht="21" customHeight="1">
      <c r="A29" s="165" t="s">
        <v>166</v>
      </c>
      <c r="B29" s="166" t="s">
        <v>2</v>
      </c>
      <c r="C29" s="171">
        <v>1022</v>
      </c>
      <c r="D29" s="140">
        <v>984.4</v>
      </c>
      <c r="E29" s="140">
        <v>1892.4</v>
      </c>
      <c r="F29" s="140">
        <v>1956.4</v>
      </c>
      <c r="G29" s="128">
        <f t="shared" si="2"/>
        <v>64</v>
      </c>
      <c r="H29" s="128">
        <f t="shared" si="3"/>
        <v>103.38194884802367</v>
      </c>
      <c r="R29" s="133"/>
      <c r="U29" s="94">
        <v>9020</v>
      </c>
      <c r="V29" s="93">
        <f>SUM(V12,V18,V24)</f>
        <v>4358.5000000000009</v>
      </c>
      <c r="W29" s="93">
        <f t="shared" ref="W29:X29" si="21">SUM(W12,W18,W24)</f>
        <v>6323.5999999999995</v>
      </c>
      <c r="X29" s="93">
        <f t="shared" si="21"/>
        <v>6254.0999999999995</v>
      </c>
    </row>
    <row r="30" spans="1:27" ht="33.75" customHeight="1">
      <c r="A30" s="165" t="s">
        <v>167</v>
      </c>
      <c r="B30" s="166" t="s">
        <v>3</v>
      </c>
      <c r="C30" s="171">
        <v>1023</v>
      </c>
      <c r="D30" s="140">
        <v>207.7</v>
      </c>
      <c r="E30" s="140">
        <v>417.9</v>
      </c>
      <c r="F30" s="140">
        <v>433.7</v>
      </c>
      <c r="G30" s="128">
        <f t="shared" si="2"/>
        <v>15.800000000000011</v>
      </c>
      <c r="H30" s="128">
        <f t="shared" si="3"/>
        <v>103.78080880593443</v>
      </c>
      <c r="R30" s="133"/>
      <c r="U30" s="94">
        <v>9030</v>
      </c>
      <c r="V30" s="93">
        <f>SUM(V13,V19)</f>
        <v>638.70000000000005</v>
      </c>
      <c r="W30" s="93">
        <f t="shared" ref="W30:X30" si="22">SUM(W13,W19)</f>
        <v>0</v>
      </c>
      <c r="X30" s="93">
        <f t="shared" si="22"/>
        <v>1238.4000000000001</v>
      </c>
    </row>
    <row r="31" spans="1:27" ht="24.75" customHeight="1">
      <c r="A31" s="165" t="s">
        <v>168</v>
      </c>
      <c r="B31" s="166" t="s">
        <v>169</v>
      </c>
      <c r="C31" s="167">
        <v>1025</v>
      </c>
      <c r="D31" s="140">
        <f>SUM(D32:D35)</f>
        <v>9.3000000000000007</v>
      </c>
      <c r="E31" s="140">
        <f>SUM(E32:E35)</f>
        <v>16.8</v>
      </c>
      <c r="F31" s="140">
        <f>SUM(F32:F35)</f>
        <v>20.5</v>
      </c>
      <c r="G31" s="128">
        <f t="shared" si="2"/>
        <v>3.6999999999999993</v>
      </c>
      <c r="H31" s="128">
        <f t="shared" si="3"/>
        <v>122.02380952380952</v>
      </c>
      <c r="R31" s="133"/>
      <c r="U31" s="95">
        <v>9040</v>
      </c>
      <c r="V31" s="93">
        <f>SUM(V14,V20,V25)</f>
        <v>3304.5</v>
      </c>
      <c r="W31" s="93">
        <f t="shared" ref="W31:X31" si="23">SUM(W14,W20,W25)</f>
        <v>3651.1000000000008</v>
      </c>
      <c r="X31" s="93">
        <f t="shared" si="23"/>
        <v>3632.4999999999995</v>
      </c>
    </row>
    <row r="32" spans="1:27" ht="27.75" customHeight="1">
      <c r="A32" s="165"/>
      <c r="B32" s="169" t="s">
        <v>165</v>
      </c>
      <c r="C32" s="136"/>
      <c r="D32" s="139">
        <v>0.9</v>
      </c>
      <c r="E32" s="139">
        <v>2.9</v>
      </c>
      <c r="F32" s="139">
        <v>2.9</v>
      </c>
      <c r="G32" s="153">
        <f t="shared" si="2"/>
        <v>0</v>
      </c>
      <c r="H32" s="153">
        <f t="shared" si="3"/>
        <v>100</v>
      </c>
      <c r="R32" s="133"/>
      <c r="U32" s="95">
        <v>9050</v>
      </c>
      <c r="V32" s="138">
        <f>SUM(V27:V31)</f>
        <v>33208.400000000001</v>
      </c>
      <c r="W32" s="138">
        <f t="shared" ref="W32:X32" si="24">SUM(W27:W31)</f>
        <v>44087</v>
      </c>
      <c r="X32" s="138">
        <f t="shared" si="24"/>
        <v>49155.199999999997</v>
      </c>
    </row>
    <row r="33" spans="1:18" ht="40.5" customHeight="1">
      <c r="A33" s="165"/>
      <c r="B33" s="169" t="s">
        <v>170</v>
      </c>
      <c r="C33" s="136"/>
      <c r="D33" s="139">
        <v>7.2</v>
      </c>
      <c r="E33" s="139">
        <v>12.7</v>
      </c>
      <c r="F33" s="139">
        <v>16</v>
      </c>
      <c r="G33" s="153">
        <f t="shared" si="2"/>
        <v>3.3000000000000007</v>
      </c>
      <c r="H33" s="153">
        <f t="shared" si="3"/>
        <v>125.98425196850394</v>
      </c>
      <c r="R33" s="133"/>
    </row>
    <row r="34" spans="1:18" ht="18.75" customHeight="1">
      <c r="A34" s="165"/>
      <c r="B34" s="169" t="s">
        <v>216</v>
      </c>
      <c r="C34" s="136"/>
      <c r="D34" s="139">
        <v>0.3</v>
      </c>
      <c r="E34" s="139"/>
      <c r="F34" s="139"/>
      <c r="G34" s="153">
        <f t="shared" si="2"/>
        <v>0</v>
      </c>
      <c r="H34" s="153"/>
      <c r="R34" s="133"/>
    </row>
    <row r="35" spans="1:18" ht="26.25" customHeight="1">
      <c r="A35" s="165"/>
      <c r="B35" s="169" t="s">
        <v>171</v>
      </c>
      <c r="C35" s="136"/>
      <c r="D35" s="139">
        <v>0.9</v>
      </c>
      <c r="E35" s="139">
        <v>1.2</v>
      </c>
      <c r="F35" s="139">
        <v>1.6</v>
      </c>
      <c r="G35" s="153">
        <f t="shared" si="2"/>
        <v>0.40000000000000013</v>
      </c>
      <c r="H35" s="153">
        <f t="shared" si="3"/>
        <v>133.33333333333334</v>
      </c>
      <c r="R35" s="133"/>
    </row>
    <row r="36" spans="1:18" ht="23.25" customHeight="1">
      <c r="A36" s="162" t="s">
        <v>87</v>
      </c>
      <c r="B36" s="174" t="s">
        <v>89</v>
      </c>
      <c r="C36" s="164">
        <v>1030</v>
      </c>
      <c r="D36" s="141">
        <f>SUM(D37,D38,D39)</f>
        <v>114.69999999999999</v>
      </c>
      <c r="E36" s="141">
        <f t="shared" ref="E36:F36" si="25">SUM(E37,E38,E39)</f>
        <v>111.4</v>
      </c>
      <c r="F36" s="141">
        <f t="shared" si="25"/>
        <v>213.39999999999998</v>
      </c>
      <c r="G36" s="152">
        <f t="shared" si="2"/>
        <v>101.99999999999997</v>
      </c>
      <c r="H36" s="152">
        <f t="shared" si="3"/>
        <v>191.56193895870732</v>
      </c>
      <c r="R36" s="133"/>
    </row>
    <row r="37" spans="1:18" ht="23.25" customHeight="1">
      <c r="A37" s="165" t="s">
        <v>172</v>
      </c>
      <c r="B37" s="166" t="s">
        <v>2</v>
      </c>
      <c r="C37" s="171">
        <v>1032</v>
      </c>
      <c r="D37" s="140">
        <v>87.8</v>
      </c>
      <c r="E37" s="140">
        <v>63</v>
      </c>
      <c r="F37" s="140">
        <v>157.6</v>
      </c>
      <c r="G37" s="128">
        <f t="shared" si="2"/>
        <v>94.6</v>
      </c>
      <c r="H37" s="128">
        <f t="shared" si="3"/>
        <v>250.15873015873015</v>
      </c>
      <c r="R37" s="133"/>
    </row>
    <row r="38" spans="1:18" ht="23.25" customHeight="1">
      <c r="A38" s="165" t="s">
        <v>173</v>
      </c>
      <c r="B38" s="166" t="s">
        <v>3</v>
      </c>
      <c r="C38" s="171">
        <v>1033</v>
      </c>
      <c r="D38" s="140">
        <v>16.3</v>
      </c>
      <c r="E38" s="140">
        <v>48.4</v>
      </c>
      <c r="F38" s="140">
        <v>55.8</v>
      </c>
      <c r="G38" s="128">
        <f t="shared" si="2"/>
        <v>7.3999999999999986</v>
      </c>
      <c r="H38" s="128">
        <f t="shared" si="3"/>
        <v>115.28925619834712</v>
      </c>
      <c r="R38" s="133"/>
    </row>
    <row r="39" spans="1:18" ht="23.25" customHeight="1">
      <c r="A39" s="165" t="s">
        <v>174</v>
      </c>
      <c r="B39" s="166" t="s">
        <v>89</v>
      </c>
      <c r="C39" s="171">
        <v>1035</v>
      </c>
      <c r="D39" s="140">
        <f>D40</f>
        <v>10.6</v>
      </c>
      <c r="E39" s="140"/>
      <c r="F39" s="140"/>
      <c r="G39" s="128">
        <f t="shared" si="2"/>
        <v>0</v>
      </c>
      <c r="H39" s="128"/>
      <c r="R39" s="133"/>
    </row>
    <row r="40" spans="1:18" ht="23.25" customHeight="1">
      <c r="A40" s="171"/>
      <c r="B40" s="169" t="s">
        <v>175</v>
      </c>
      <c r="C40" s="175"/>
      <c r="D40" s="139">
        <v>10.6</v>
      </c>
      <c r="E40" s="141"/>
      <c r="F40" s="141"/>
      <c r="G40" s="152">
        <f t="shared" si="2"/>
        <v>0</v>
      </c>
      <c r="H40" s="152"/>
      <c r="R40" s="133"/>
    </row>
    <row r="41" spans="1:18" ht="38.25" customHeight="1">
      <c r="A41" s="171" t="s">
        <v>90</v>
      </c>
      <c r="B41" s="166" t="s">
        <v>444</v>
      </c>
      <c r="C41" s="175"/>
      <c r="D41" s="140">
        <v>0</v>
      </c>
      <c r="E41" s="140">
        <v>0</v>
      </c>
      <c r="F41" s="140">
        <v>3208.3</v>
      </c>
      <c r="G41" s="128">
        <f>F41-E41</f>
        <v>3208.3</v>
      </c>
      <c r="H41" s="128"/>
      <c r="R41" s="133"/>
    </row>
    <row r="42" spans="1:18" ht="23.25" customHeight="1">
      <c r="A42" s="171"/>
      <c r="B42" s="169" t="s">
        <v>82</v>
      </c>
      <c r="C42" s="175"/>
      <c r="D42" s="139"/>
      <c r="E42" s="141"/>
      <c r="F42" s="141"/>
      <c r="G42" s="128">
        <f t="shared" ref="G42:G45" si="26">F42-E42</f>
        <v>0</v>
      </c>
      <c r="H42" s="152"/>
      <c r="R42" s="133"/>
    </row>
    <row r="43" spans="1:18" ht="23.25" customHeight="1">
      <c r="A43" s="176" t="s">
        <v>91</v>
      </c>
      <c r="B43" s="177" t="s">
        <v>86</v>
      </c>
      <c r="C43" s="178">
        <v>1010</v>
      </c>
      <c r="D43" s="141">
        <v>0</v>
      </c>
      <c r="E43" s="141">
        <v>0</v>
      </c>
      <c r="F43" s="141">
        <v>3208.3</v>
      </c>
      <c r="G43" s="152">
        <f t="shared" si="26"/>
        <v>3208.3</v>
      </c>
      <c r="H43" s="152"/>
      <c r="R43" s="133"/>
    </row>
    <row r="44" spans="1:18" ht="23.25" customHeight="1">
      <c r="A44" s="165" t="s">
        <v>446</v>
      </c>
      <c r="B44" s="166" t="s">
        <v>2</v>
      </c>
      <c r="C44" s="171">
        <v>1012</v>
      </c>
      <c r="D44" s="140"/>
      <c r="E44" s="140"/>
      <c r="F44" s="140">
        <v>2629.6</v>
      </c>
      <c r="G44" s="128">
        <f t="shared" si="26"/>
        <v>2629.6</v>
      </c>
      <c r="H44" s="128"/>
      <c r="R44" s="133"/>
    </row>
    <row r="45" spans="1:18" ht="23.25" customHeight="1">
      <c r="A45" s="165" t="s">
        <v>447</v>
      </c>
      <c r="B45" s="166" t="s">
        <v>3</v>
      </c>
      <c r="C45" s="171">
        <v>1013</v>
      </c>
      <c r="D45" s="140"/>
      <c r="E45" s="140"/>
      <c r="F45" s="140">
        <v>578.70000000000005</v>
      </c>
      <c r="G45" s="128">
        <f t="shared" si="26"/>
        <v>578.70000000000005</v>
      </c>
      <c r="H45" s="128"/>
      <c r="R45" s="133"/>
    </row>
    <row r="46" spans="1:18" ht="43.5" customHeight="1">
      <c r="A46" s="171" t="s">
        <v>101</v>
      </c>
      <c r="B46" s="166" t="s">
        <v>445</v>
      </c>
      <c r="C46" s="171"/>
      <c r="D46" s="140">
        <f>SUM(D48)</f>
        <v>0</v>
      </c>
      <c r="E46" s="140">
        <f>SUM(E48)</f>
        <v>0</v>
      </c>
      <c r="F46" s="140">
        <v>135.4</v>
      </c>
      <c r="G46" s="128">
        <f>F46-E46</f>
        <v>135.4</v>
      </c>
      <c r="H46" s="128"/>
      <c r="R46" s="133"/>
    </row>
    <row r="47" spans="1:18" ht="23.25" customHeight="1">
      <c r="A47" s="171"/>
      <c r="B47" s="169" t="s">
        <v>82</v>
      </c>
      <c r="C47" s="171"/>
      <c r="D47" s="139"/>
      <c r="E47" s="141"/>
      <c r="F47" s="141"/>
      <c r="G47" s="128">
        <f t="shared" ref="G47:G52" si="27">F47-E47</f>
        <v>0</v>
      </c>
      <c r="H47" s="152"/>
      <c r="R47" s="133"/>
    </row>
    <row r="48" spans="1:18" ht="23.25" customHeight="1">
      <c r="A48" s="176" t="s">
        <v>102</v>
      </c>
      <c r="B48" s="177" t="s">
        <v>86</v>
      </c>
      <c r="C48" s="178">
        <v>1010</v>
      </c>
      <c r="D48" s="141">
        <f>SUM(D49)</f>
        <v>0</v>
      </c>
      <c r="E48" s="141">
        <f>SUM(E49)</f>
        <v>0</v>
      </c>
      <c r="F48" s="141">
        <v>135.4</v>
      </c>
      <c r="G48" s="152">
        <f t="shared" si="27"/>
        <v>135.4</v>
      </c>
      <c r="H48" s="152"/>
      <c r="R48" s="133"/>
    </row>
    <row r="49" spans="1:18" ht="23.25" customHeight="1">
      <c r="A49" s="165" t="s">
        <v>206</v>
      </c>
      <c r="B49" s="166" t="s">
        <v>109</v>
      </c>
      <c r="C49" s="171">
        <v>1011</v>
      </c>
      <c r="D49" s="140">
        <f>SUM(D50:D52)</f>
        <v>0</v>
      </c>
      <c r="E49" s="140">
        <f>SUM(E50:E52)</f>
        <v>0</v>
      </c>
      <c r="F49" s="140">
        <v>135.4</v>
      </c>
      <c r="G49" s="128">
        <f t="shared" si="27"/>
        <v>135.4</v>
      </c>
      <c r="H49" s="128"/>
      <c r="R49" s="133"/>
    </row>
    <row r="50" spans="1:18" ht="23.25" customHeight="1">
      <c r="A50" s="171"/>
      <c r="B50" s="169" t="s">
        <v>147</v>
      </c>
      <c r="C50" s="171"/>
      <c r="D50" s="139"/>
      <c r="E50" s="141"/>
      <c r="F50" s="139">
        <v>58.4</v>
      </c>
      <c r="G50" s="153">
        <f t="shared" si="27"/>
        <v>58.4</v>
      </c>
      <c r="H50" s="152"/>
      <c r="R50" s="133"/>
    </row>
    <row r="51" spans="1:18" ht="23.25" customHeight="1">
      <c r="A51" s="171"/>
      <c r="B51" s="169" t="s">
        <v>148</v>
      </c>
      <c r="C51" s="175"/>
      <c r="D51" s="139"/>
      <c r="E51" s="141"/>
      <c r="F51" s="139">
        <v>57.7</v>
      </c>
      <c r="G51" s="153">
        <f t="shared" si="27"/>
        <v>57.7</v>
      </c>
      <c r="H51" s="152"/>
      <c r="R51" s="133"/>
    </row>
    <row r="52" spans="1:18" ht="23.25" customHeight="1">
      <c r="A52" s="171"/>
      <c r="B52" s="169" t="s">
        <v>150</v>
      </c>
      <c r="C52" s="175"/>
      <c r="D52" s="139"/>
      <c r="E52" s="141"/>
      <c r="F52" s="139">
        <v>19.3</v>
      </c>
      <c r="G52" s="153">
        <f t="shared" si="27"/>
        <v>19.3</v>
      </c>
      <c r="H52" s="152"/>
      <c r="R52" s="133"/>
    </row>
    <row r="53" spans="1:18" ht="25.5" customHeight="1">
      <c r="A53" s="171" t="s">
        <v>103</v>
      </c>
      <c r="B53" s="166" t="s">
        <v>176</v>
      </c>
      <c r="C53" s="157"/>
      <c r="D53" s="140">
        <f>SUM(D55,D87,D102)</f>
        <v>194.9</v>
      </c>
      <c r="E53" s="140">
        <f t="shared" ref="E53:F53" si="28">SUM(E55,E87,E102)</f>
        <v>540.5</v>
      </c>
      <c r="F53" s="140">
        <f t="shared" si="28"/>
        <v>526.79999999999995</v>
      </c>
      <c r="G53" s="128">
        <f t="shared" si="2"/>
        <v>-13.700000000000045</v>
      </c>
      <c r="H53" s="128">
        <f t="shared" si="3"/>
        <v>97.465309898242353</v>
      </c>
      <c r="R53" s="133"/>
    </row>
    <row r="54" spans="1:18" ht="27" customHeight="1">
      <c r="A54" s="159"/>
      <c r="B54" s="179" t="s">
        <v>82</v>
      </c>
      <c r="C54" s="161"/>
      <c r="D54" s="139"/>
      <c r="E54" s="139"/>
      <c r="F54" s="139"/>
      <c r="G54" s="128"/>
      <c r="H54" s="128"/>
      <c r="R54" s="133"/>
    </row>
    <row r="55" spans="1:18" ht="30.75" customHeight="1">
      <c r="A55" s="162" t="s">
        <v>104</v>
      </c>
      <c r="B55" s="163" t="s">
        <v>86</v>
      </c>
      <c r="C55" s="164">
        <v>1010</v>
      </c>
      <c r="D55" s="141">
        <f>D56+D66+D67</f>
        <v>163.80000000000001</v>
      </c>
      <c r="E55" s="141">
        <f>E56+E66+E67</f>
        <v>415.9</v>
      </c>
      <c r="F55" s="141">
        <f>F56+F67+F66</f>
        <v>433.3</v>
      </c>
      <c r="G55" s="152">
        <f t="shared" si="2"/>
        <v>17.400000000000034</v>
      </c>
      <c r="H55" s="152">
        <f t="shared" si="3"/>
        <v>104.18369800432797</v>
      </c>
      <c r="R55" s="133"/>
    </row>
    <row r="56" spans="1:18" ht="33" customHeight="1">
      <c r="A56" s="165" t="s">
        <v>219</v>
      </c>
      <c r="B56" s="180" t="s">
        <v>109</v>
      </c>
      <c r="C56" s="167">
        <v>1011</v>
      </c>
      <c r="D56" s="140">
        <f>SUM(D57:D65)</f>
        <v>69.3</v>
      </c>
      <c r="E56" s="140">
        <f>SUM(E57:E65)</f>
        <v>277.5</v>
      </c>
      <c r="F56" s="140">
        <f>SUM(F57:F65)</f>
        <v>206.9</v>
      </c>
      <c r="G56" s="128">
        <f t="shared" si="2"/>
        <v>-70.599999999999994</v>
      </c>
      <c r="H56" s="128">
        <f t="shared" si="3"/>
        <v>74.558558558558559</v>
      </c>
      <c r="R56" s="133"/>
    </row>
    <row r="57" spans="1:18" ht="24.75" customHeight="1">
      <c r="A57" s="181"/>
      <c r="B57" s="182" t="s">
        <v>147</v>
      </c>
      <c r="C57" s="183"/>
      <c r="D57" s="139"/>
      <c r="E57" s="139">
        <v>17.5</v>
      </c>
      <c r="F57" s="139">
        <v>98.6</v>
      </c>
      <c r="G57" s="153">
        <f t="shared" si="2"/>
        <v>81.099999999999994</v>
      </c>
      <c r="H57" s="153">
        <f t="shared" si="3"/>
        <v>563.42857142857144</v>
      </c>
      <c r="R57" s="133"/>
    </row>
    <row r="58" spans="1:18" ht="26.25" customHeight="1">
      <c r="A58" s="181"/>
      <c r="B58" s="182" t="s">
        <v>148</v>
      </c>
      <c r="C58" s="183"/>
      <c r="D58" s="139">
        <v>18</v>
      </c>
      <c r="E58" s="139"/>
      <c r="F58" s="139">
        <v>10.8</v>
      </c>
      <c r="G58" s="153">
        <f t="shared" si="2"/>
        <v>10.8</v>
      </c>
      <c r="H58" s="153"/>
      <c r="R58" s="133"/>
    </row>
    <row r="59" spans="1:18" ht="26.25" customHeight="1">
      <c r="A59" s="181"/>
      <c r="B59" s="182" t="s">
        <v>150</v>
      </c>
      <c r="C59" s="183"/>
      <c r="D59" s="139"/>
      <c r="E59" s="139"/>
      <c r="F59" s="139">
        <v>2.9</v>
      </c>
      <c r="G59" s="153">
        <f t="shared" si="2"/>
        <v>2.9</v>
      </c>
      <c r="H59" s="153"/>
      <c r="R59" s="133"/>
    </row>
    <row r="60" spans="1:18" ht="40.5" customHeight="1">
      <c r="A60" s="165"/>
      <c r="B60" s="182" t="s">
        <v>177</v>
      </c>
      <c r="C60" s="184"/>
      <c r="D60" s="139">
        <v>51.3</v>
      </c>
      <c r="E60" s="139">
        <v>22.2</v>
      </c>
      <c r="F60" s="139">
        <f>80-3</f>
        <v>77</v>
      </c>
      <c r="G60" s="153">
        <f t="shared" si="2"/>
        <v>54.8</v>
      </c>
      <c r="H60" s="153">
        <f t="shared" si="3"/>
        <v>346.84684684684686</v>
      </c>
      <c r="R60" s="133"/>
    </row>
    <row r="61" spans="1:18" ht="25.5" customHeight="1">
      <c r="A61" s="165"/>
      <c r="B61" s="185" t="s">
        <v>178</v>
      </c>
      <c r="C61" s="136"/>
      <c r="D61" s="139"/>
      <c r="E61" s="139">
        <v>4.3</v>
      </c>
      <c r="F61" s="139"/>
      <c r="G61" s="153">
        <f t="shared" si="2"/>
        <v>-4.3</v>
      </c>
      <c r="H61" s="153">
        <f t="shared" si="3"/>
        <v>0</v>
      </c>
      <c r="R61" s="133"/>
    </row>
    <row r="62" spans="1:18" ht="40.5" customHeight="1">
      <c r="A62" s="168"/>
      <c r="B62" s="169" t="s">
        <v>179</v>
      </c>
      <c r="C62" s="136"/>
      <c r="D62" s="139"/>
      <c r="E62" s="139">
        <v>38.200000000000003</v>
      </c>
      <c r="F62" s="139">
        <f>104.4+6.6-93.4</f>
        <v>17.599999999999994</v>
      </c>
      <c r="G62" s="153">
        <f t="shared" si="2"/>
        <v>-20.600000000000009</v>
      </c>
      <c r="H62" s="153">
        <f t="shared" si="3"/>
        <v>46.073298429319351</v>
      </c>
      <c r="R62" s="133"/>
    </row>
    <row r="63" spans="1:18" ht="29.25" customHeight="1">
      <c r="A63" s="168"/>
      <c r="B63" s="169" t="s">
        <v>151</v>
      </c>
      <c r="C63" s="136"/>
      <c r="D63" s="139"/>
      <c r="E63" s="139">
        <v>78.7</v>
      </c>
      <c r="F63" s="139"/>
      <c r="G63" s="153">
        <f t="shared" si="2"/>
        <v>-78.7</v>
      </c>
      <c r="H63" s="153">
        <f t="shared" si="3"/>
        <v>0</v>
      </c>
      <c r="R63" s="133"/>
    </row>
    <row r="64" spans="1:18" ht="27" customHeight="1">
      <c r="A64" s="168"/>
      <c r="B64" s="169" t="s">
        <v>180</v>
      </c>
      <c r="C64" s="136"/>
      <c r="D64" s="139"/>
      <c r="E64" s="139">
        <v>81</v>
      </c>
      <c r="F64" s="139"/>
      <c r="G64" s="153">
        <f t="shared" si="2"/>
        <v>-81</v>
      </c>
      <c r="H64" s="153">
        <f t="shared" si="3"/>
        <v>0</v>
      </c>
      <c r="R64" s="133"/>
    </row>
    <row r="65" spans="1:18" ht="20.25" customHeight="1">
      <c r="A65" s="168"/>
      <c r="B65" s="169" t="s">
        <v>181</v>
      </c>
      <c r="C65" s="136"/>
      <c r="D65" s="139"/>
      <c r="E65" s="139">
        <v>35.6</v>
      </c>
      <c r="F65" s="139"/>
      <c r="G65" s="153">
        <f t="shared" si="2"/>
        <v>-35.6</v>
      </c>
      <c r="H65" s="153">
        <f t="shared" si="3"/>
        <v>0</v>
      </c>
      <c r="R65" s="133"/>
    </row>
    <row r="66" spans="1:18" ht="25.5" customHeight="1">
      <c r="A66" s="165" t="s">
        <v>448</v>
      </c>
      <c r="B66" s="186" t="s">
        <v>4</v>
      </c>
      <c r="C66" s="167">
        <v>1014</v>
      </c>
      <c r="D66" s="140"/>
      <c r="E66" s="140"/>
      <c r="F66" s="140">
        <v>99.8</v>
      </c>
      <c r="G66" s="128">
        <f t="shared" si="2"/>
        <v>99.8</v>
      </c>
      <c r="H66" s="128"/>
      <c r="R66" s="133"/>
    </row>
    <row r="67" spans="1:18" ht="31.5" customHeight="1">
      <c r="A67" s="165" t="s">
        <v>375</v>
      </c>
      <c r="B67" s="158" t="s">
        <v>94</v>
      </c>
      <c r="C67" s="157">
        <v>1015</v>
      </c>
      <c r="D67" s="140">
        <f>SUM(D68:D86)</f>
        <v>94.5</v>
      </c>
      <c r="E67" s="140">
        <f>SUM(E68:E86)</f>
        <v>138.4</v>
      </c>
      <c r="F67" s="140">
        <f>SUM(F68:F86)</f>
        <v>126.59999999999998</v>
      </c>
      <c r="G67" s="128">
        <f t="shared" si="2"/>
        <v>-11.800000000000026</v>
      </c>
      <c r="H67" s="128">
        <f t="shared" si="3"/>
        <v>91.473988439306339</v>
      </c>
      <c r="R67" s="133"/>
    </row>
    <row r="68" spans="1:18" ht="29.25" customHeight="1">
      <c r="A68" s="168"/>
      <c r="B68" s="172" t="s">
        <v>157</v>
      </c>
      <c r="C68" s="158"/>
      <c r="D68" s="139">
        <v>58</v>
      </c>
      <c r="E68" s="139"/>
      <c r="F68" s="139"/>
      <c r="G68" s="152">
        <f t="shared" si="2"/>
        <v>0</v>
      </c>
      <c r="H68" s="152"/>
      <c r="R68" s="133"/>
    </row>
    <row r="69" spans="1:18" ht="23.25" customHeight="1">
      <c r="A69" s="168"/>
      <c r="B69" s="172" t="s">
        <v>162</v>
      </c>
      <c r="C69" s="158"/>
      <c r="D69" s="139">
        <v>26.2</v>
      </c>
      <c r="E69" s="139">
        <v>7.4</v>
      </c>
      <c r="F69" s="139">
        <f>8.7+5.7</f>
        <v>14.399999999999999</v>
      </c>
      <c r="G69" s="153">
        <f t="shared" si="2"/>
        <v>6.9999999999999982</v>
      </c>
      <c r="H69" s="153">
        <f t="shared" si="3"/>
        <v>194.59459459459455</v>
      </c>
      <c r="R69" s="133"/>
    </row>
    <row r="70" spans="1:18" ht="27.75" customHeight="1">
      <c r="A70" s="168"/>
      <c r="B70" s="172" t="s">
        <v>182</v>
      </c>
      <c r="C70" s="158"/>
      <c r="D70" s="139"/>
      <c r="E70" s="139">
        <v>1.6</v>
      </c>
      <c r="F70" s="139">
        <v>1.7</v>
      </c>
      <c r="G70" s="153">
        <f t="shared" si="2"/>
        <v>9.9999999999999867E-2</v>
      </c>
      <c r="H70" s="153">
        <f t="shared" si="3"/>
        <v>106.25</v>
      </c>
      <c r="R70" s="133"/>
    </row>
    <row r="71" spans="1:18" ht="31.5" customHeight="1">
      <c r="A71" s="168"/>
      <c r="B71" s="172" t="s">
        <v>183</v>
      </c>
      <c r="C71" s="158"/>
      <c r="D71" s="139"/>
      <c r="E71" s="139"/>
      <c r="F71" s="139">
        <v>48.2</v>
      </c>
      <c r="G71" s="153">
        <f t="shared" si="2"/>
        <v>48.2</v>
      </c>
      <c r="H71" s="153"/>
      <c r="R71" s="133"/>
    </row>
    <row r="72" spans="1:18" ht="27.75" customHeight="1">
      <c r="A72" s="168"/>
      <c r="B72" s="172" t="s">
        <v>164</v>
      </c>
      <c r="C72" s="158"/>
      <c r="D72" s="139"/>
      <c r="E72" s="139">
        <v>42.6</v>
      </c>
      <c r="F72" s="139">
        <f>13.5+5.4-0.1</f>
        <v>18.799999999999997</v>
      </c>
      <c r="G72" s="153">
        <f t="shared" si="2"/>
        <v>-23.800000000000004</v>
      </c>
      <c r="H72" s="153">
        <f t="shared" si="3"/>
        <v>44.131455399061025</v>
      </c>
      <c r="R72" s="133"/>
    </row>
    <row r="73" spans="1:18" ht="24" customHeight="1">
      <c r="A73" s="168"/>
      <c r="B73" s="172" t="s">
        <v>184</v>
      </c>
      <c r="C73" s="158"/>
      <c r="D73" s="139">
        <v>4.5999999999999996</v>
      </c>
      <c r="E73" s="139">
        <v>1.9</v>
      </c>
      <c r="F73" s="139">
        <f>25.9-15</f>
        <v>10.899999999999999</v>
      </c>
      <c r="G73" s="153">
        <f t="shared" si="2"/>
        <v>8.9999999999999982</v>
      </c>
      <c r="H73" s="153">
        <f t="shared" si="3"/>
        <v>573.68421052631572</v>
      </c>
      <c r="R73" s="133"/>
    </row>
    <row r="74" spans="1:18" ht="27" customHeight="1">
      <c r="A74" s="168"/>
      <c r="B74" s="185" t="s">
        <v>185</v>
      </c>
      <c r="C74" s="158"/>
      <c r="D74" s="139"/>
      <c r="E74" s="139">
        <v>44.9</v>
      </c>
      <c r="F74" s="139">
        <f>5.6-1.9</f>
        <v>3.6999999999999997</v>
      </c>
      <c r="G74" s="153">
        <f t="shared" si="2"/>
        <v>-41.199999999999996</v>
      </c>
      <c r="H74" s="153">
        <f t="shared" si="3"/>
        <v>8.2405345211581285</v>
      </c>
      <c r="R74" s="133"/>
    </row>
    <row r="75" spans="1:18" ht="25.5" customHeight="1">
      <c r="A75" s="168"/>
      <c r="B75" s="187" t="s">
        <v>165</v>
      </c>
      <c r="C75" s="158"/>
      <c r="D75" s="139"/>
      <c r="E75" s="139">
        <v>6.2</v>
      </c>
      <c r="F75" s="139">
        <v>6.3</v>
      </c>
      <c r="G75" s="153">
        <f t="shared" si="2"/>
        <v>9.9999999999999645E-2</v>
      </c>
      <c r="H75" s="153">
        <f t="shared" si="3"/>
        <v>101.61290322580645</v>
      </c>
      <c r="R75" s="133"/>
    </row>
    <row r="76" spans="1:18" ht="29.25" customHeight="1">
      <c r="A76" s="168"/>
      <c r="B76" s="169" t="s">
        <v>186</v>
      </c>
      <c r="C76" s="158"/>
      <c r="D76" s="139">
        <v>5.7</v>
      </c>
      <c r="E76" s="139">
        <v>7</v>
      </c>
      <c r="F76" s="139"/>
      <c r="G76" s="153">
        <f t="shared" si="2"/>
        <v>-7</v>
      </c>
      <c r="H76" s="153">
        <f t="shared" si="3"/>
        <v>0</v>
      </c>
      <c r="R76" s="133"/>
    </row>
    <row r="77" spans="1:18" ht="27" customHeight="1">
      <c r="A77" s="168"/>
      <c r="B77" s="169" t="s">
        <v>187</v>
      </c>
      <c r="C77" s="158"/>
      <c r="D77" s="139"/>
      <c r="E77" s="139">
        <v>1.1000000000000001</v>
      </c>
      <c r="F77" s="139"/>
      <c r="G77" s="153">
        <f t="shared" si="2"/>
        <v>-1.1000000000000001</v>
      </c>
      <c r="H77" s="153">
        <f t="shared" si="3"/>
        <v>0</v>
      </c>
      <c r="R77" s="133"/>
    </row>
    <row r="78" spans="1:18" ht="25.5" customHeight="1">
      <c r="A78" s="168"/>
      <c r="B78" s="169" t="s">
        <v>188</v>
      </c>
      <c r="C78" s="158"/>
      <c r="D78" s="139"/>
      <c r="E78" s="139"/>
      <c r="F78" s="139">
        <v>2.6</v>
      </c>
      <c r="G78" s="153">
        <f t="shared" si="2"/>
        <v>2.6</v>
      </c>
      <c r="H78" s="153"/>
      <c r="R78" s="133"/>
    </row>
    <row r="79" spans="1:18" ht="25.5" customHeight="1">
      <c r="A79" s="168"/>
      <c r="B79" s="169" t="s">
        <v>189</v>
      </c>
      <c r="C79" s="158"/>
      <c r="D79" s="139"/>
      <c r="E79" s="139">
        <v>7.6</v>
      </c>
      <c r="F79" s="139"/>
      <c r="G79" s="153">
        <f t="shared" si="2"/>
        <v>-7.6</v>
      </c>
      <c r="H79" s="153">
        <f t="shared" si="3"/>
        <v>0</v>
      </c>
      <c r="R79" s="133"/>
    </row>
    <row r="80" spans="1:18" ht="30.75" customHeight="1">
      <c r="A80" s="168"/>
      <c r="B80" s="169" t="s">
        <v>190</v>
      </c>
      <c r="C80" s="158"/>
      <c r="D80" s="139"/>
      <c r="E80" s="139">
        <v>1.6</v>
      </c>
      <c r="F80" s="139">
        <v>1.6</v>
      </c>
      <c r="G80" s="153">
        <f t="shared" si="2"/>
        <v>0</v>
      </c>
      <c r="H80" s="153">
        <f t="shared" si="3"/>
        <v>100</v>
      </c>
      <c r="R80" s="133"/>
    </row>
    <row r="81" spans="1:18" ht="30.75" customHeight="1">
      <c r="A81" s="165"/>
      <c r="B81" s="172" t="s">
        <v>191</v>
      </c>
      <c r="C81" s="158"/>
      <c r="D81" s="139"/>
      <c r="E81" s="139">
        <v>0.3</v>
      </c>
      <c r="F81" s="139">
        <v>0.3</v>
      </c>
      <c r="G81" s="153">
        <f t="shared" si="2"/>
        <v>0</v>
      </c>
      <c r="H81" s="153">
        <f t="shared" si="3"/>
        <v>100</v>
      </c>
      <c r="R81" s="133"/>
    </row>
    <row r="82" spans="1:18" ht="27" customHeight="1">
      <c r="A82" s="165"/>
      <c r="B82" s="188" t="s">
        <v>192</v>
      </c>
      <c r="C82" s="158"/>
      <c r="D82" s="139"/>
      <c r="E82" s="139">
        <v>6.8</v>
      </c>
      <c r="F82" s="139">
        <v>6.8</v>
      </c>
      <c r="G82" s="153">
        <f t="shared" si="2"/>
        <v>0</v>
      </c>
      <c r="H82" s="153">
        <f t="shared" si="3"/>
        <v>100</v>
      </c>
      <c r="R82" s="133"/>
    </row>
    <row r="83" spans="1:18" ht="25.5" customHeight="1">
      <c r="A83" s="165"/>
      <c r="B83" s="189" t="s">
        <v>194</v>
      </c>
      <c r="C83" s="158"/>
      <c r="D83" s="139"/>
      <c r="E83" s="139">
        <v>5</v>
      </c>
      <c r="F83" s="139">
        <v>5</v>
      </c>
      <c r="G83" s="153">
        <f t="shared" si="2"/>
        <v>0</v>
      </c>
      <c r="H83" s="153">
        <f t="shared" si="3"/>
        <v>100</v>
      </c>
      <c r="R83" s="133"/>
    </row>
    <row r="84" spans="1:18" ht="27.75" customHeight="1">
      <c r="A84" s="165"/>
      <c r="B84" s="190" t="s">
        <v>195</v>
      </c>
      <c r="C84" s="158"/>
      <c r="D84" s="139"/>
      <c r="E84" s="139">
        <v>0.4</v>
      </c>
      <c r="F84" s="139">
        <v>0.6</v>
      </c>
      <c r="G84" s="153">
        <f t="shared" si="2"/>
        <v>0.19999999999999996</v>
      </c>
      <c r="H84" s="153">
        <f t="shared" si="3"/>
        <v>149.99999999999997</v>
      </c>
      <c r="R84" s="133"/>
    </row>
    <row r="85" spans="1:18" ht="29.25" customHeight="1">
      <c r="A85" s="165"/>
      <c r="B85" s="190" t="s">
        <v>196</v>
      </c>
      <c r="C85" s="158"/>
      <c r="D85" s="139"/>
      <c r="E85" s="139">
        <v>4</v>
      </c>
      <c r="F85" s="139">
        <v>4</v>
      </c>
      <c r="G85" s="153">
        <f t="shared" si="2"/>
        <v>0</v>
      </c>
      <c r="H85" s="153">
        <f t="shared" si="3"/>
        <v>100</v>
      </c>
      <c r="R85" s="133"/>
    </row>
    <row r="86" spans="1:18" ht="29.25" customHeight="1">
      <c r="A86" s="165"/>
      <c r="B86" s="190" t="s">
        <v>330</v>
      </c>
      <c r="C86" s="158"/>
      <c r="D86" s="139"/>
      <c r="E86" s="139"/>
      <c r="F86" s="139">
        <v>1.7</v>
      </c>
      <c r="G86" s="153">
        <f t="shared" si="2"/>
        <v>1.7</v>
      </c>
      <c r="H86" s="153"/>
      <c r="R86" s="133"/>
    </row>
    <row r="87" spans="1:18" ht="27" customHeight="1">
      <c r="A87" s="162" t="s">
        <v>105</v>
      </c>
      <c r="B87" s="173" t="s">
        <v>88</v>
      </c>
      <c r="C87" s="164">
        <v>1020</v>
      </c>
      <c r="D87" s="141">
        <f>D88+D93</f>
        <v>31.1</v>
      </c>
      <c r="E87" s="141">
        <f>E88+E93</f>
        <v>71.2</v>
      </c>
      <c r="F87" s="141">
        <f>F88+F93</f>
        <v>34.5</v>
      </c>
      <c r="G87" s="152">
        <f t="shared" si="2"/>
        <v>-36.700000000000003</v>
      </c>
      <c r="H87" s="152">
        <f t="shared" si="3"/>
        <v>48.455056179775283</v>
      </c>
      <c r="R87" s="133"/>
    </row>
    <row r="88" spans="1:18" ht="27" customHeight="1">
      <c r="A88" s="165" t="s">
        <v>283</v>
      </c>
      <c r="B88" s="180" t="s">
        <v>109</v>
      </c>
      <c r="C88" s="167">
        <v>1021</v>
      </c>
      <c r="D88" s="140">
        <f>SUM(D89:D92)</f>
        <v>31.1</v>
      </c>
      <c r="E88" s="140">
        <f>SUM(E89:E91)</f>
        <v>35.5</v>
      </c>
      <c r="F88" s="140">
        <f>SUM(F89:F92)</f>
        <v>9</v>
      </c>
      <c r="G88" s="128">
        <f t="shared" si="2"/>
        <v>-26.5</v>
      </c>
      <c r="H88" s="128">
        <f t="shared" si="3"/>
        <v>25.352112676056336</v>
      </c>
      <c r="R88" s="133"/>
    </row>
    <row r="89" spans="1:18" ht="38.25" customHeight="1">
      <c r="A89" s="181"/>
      <c r="B89" s="169" t="s">
        <v>177</v>
      </c>
      <c r="C89" s="136"/>
      <c r="D89" s="139">
        <v>26.1</v>
      </c>
      <c r="E89" s="139">
        <v>24</v>
      </c>
      <c r="F89" s="139">
        <v>1</v>
      </c>
      <c r="G89" s="153">
        <f t="shared" si="2"/>
        <v>-23</v>
      </c>
      <c r="H89" s="153">
        <f t="shared" si="3"/>
        <v>4.1666666666666661</v>
      </c>
      <c r="R89" s="133"/>
    </row>
    <row r="90" spans="1:18" ht="27" customHeight="1">
      <c r="A90" s="181"/>
      <c r="B90" s="185" t="s">
        <v>178</v>
      </c>
      <c r="C90" s="136"/>
      <c r="D90" s="139"/>
      <c r="E90" s="139">
        <v>1.6</v>
      </c>
      <c r="F90" s="139"/>
      <c r="G90" s="153">
        <f t="shared" si="2"/>
        <v>-1.6</v>
      </c>
      <c r="H90" s="153">
        <f t="shared" si="3"/>
        <v>0</v>
      </c>
      <c r="R90" s="133"/>
    </row>
    <row r="91" spans="1:18" ht="41.25" customHeight="1">
      <c r="A91" s="168"/>
      <c r="B91" s="169" t="s">
        <v>179</v>
      </c>
      <c r="C91" s="136"/>
      <c r="D91" s="139"/>
      <c r="E91" s="139">
        <v>9.9</v>
      </c>
      <c r="F91" s="139">
        <v>8</v>
      </c>
      <c r="G91" s="153">
        <f t="shared" si="2"/>
        <v>-1.9000000000000004</v>
      </c>
      <c r="H91" s="153">
        <f t="shared" si="3"/>
        <v>80.808080808080803</v>
      </c>
      <c r="R91" s="133"/>
    </row>
    <row r="92" spans="1:18" ht="27" customHeight="1">
      <c r="A92" s="168"/>
      <c r="B92" s="135" t="s">
        <v>198</v>
      </c>
      <c r="C92" s="136"/>
      <c r="D92" s="139">
        <v>5</v>
      </c>
      <c r="E92" s="139"/>
      <c r="F92" s="139"/>
      <c r="G92" s="153">
        <f t="shared" si="2"/>
        <v>0</v>
      </c>
      <c r="H92" s="153"/>
      <c r="R92" s="133"/>
    </row>
    <row r="93" spans="1:18" ht="27" customHeight="1">
      <c r="A93" s="165" t="s">
        <v>376</v>
      </c>
      <c r="B93" s="191" t="s">
        <v>199</v>
      </c>
      <c r="C93" s="167">
        <v>1025</v>
      </c>
      <c r="D93" s="140">
        <f>SUM(D94:D99)</f>
        <v>0</v>
      </c>
      <c r="E93" s="140">
        <f>SUM(E94:E99)</f>
        <v>35.700000000000003</v>
      </c>
      <c r="F93" s="140">
        <f>SUM(F94:F101)</f>
        <v>25.499999999999996</v>
      </c>
      <c r="G93" s="128">
        <f t="shared" si="2"/>
        <v>-10.200000000000006</v>
      </c>
      <c r="H93" s="128">
        <f t="shared" si="3"/>
        <v>71.428571428571402</v>
      </c>
      <c r="R93" s="133"/>
    </row>
    <row r="94" spans="1:18" ht="27" customHeight="1">
      <c r="A94" s="181"/>
      <c r="B94" s="135" t="s">
        <v>165</v>
      </c>
      <c r="C94" s="183"/>
      <c r="D94" s="139"/>
      <c r="E94" s="139">
        <v>2</v>
      </c>
      <c r="F94" s="139">
        <v>1.9</v>
      </c>
      <c r="G94" s="153">
        <f t="shared" si="2"/>
        <v>-0.10000000000000009</v>
      </c>
      <c r="H94" s="153">
        <f t="shared" si="3"/>
        <v>95</v>
      </c>
      <c r="R94" s="133"/>
    </row>
    <row r="95" spans="1:18" ht="27" customHeight="1">
      <c r="A95" s="181"/>
      <c r="B95" s="172" t="s">
        <v>184</v>
      </c>
      <c r="C95" s="183"/>
      <c r="D95" s="139"/>
      <c r="E95" s="139">
        <v>7.4</v>
      </c>
      <c r="F95" s="139">
        <f>1.9+15</f>
        <v>16.899999999999999</v>
      </c>
      <c r="G95" s="153">
        <f t="shared" si="2"/>
        <v>9.4999999999999982</v>
      </c>
      <c r="H95" s="153">
        <f t="shared" si="3"/>
        <v>228.37837837837833</v>
      </c>
      <c r="R95" s="133"/>
    </row>
    <row r="96" spans="1:18" ht="27" customHeight="1">
      <c r="A96" s="181"/>
      <c r="B96" s="172" t="s">
        <v>171</v>
      </c>
      <c r="C96" s="183"/>
      <c r="D96" s="139"/>
      <c r="E96" s="139">
        <v>0.3</v>
      </c>
      <c r="F96" s="139"/>
      <c r="G96" s="153">
        <f t="shared" si="2"/>
        <v>-0.3</v>
      </c>
      <c r="H96" s="153">
        <f t="shared" si="3"/>
        <v>0</v>
      </c>
      <c r="R96" s="133"/>
    </row>
    <row r="97" spans="1:18" ht="27" customHeight="1">
      <c r="A97" s="181"/>
      <c r="B97" s="185" t="s">
        <v>200</v>
      </c>
      <c r="C97" s="183"/>
      <c r="D97" s="139"/>
      <c r="E97" s="139">
        <v>24</v>
      </c>
      <c r="F97" s="139"/>
      <c r="G97" s="153">
        <f t="shared" si="2"/>
        <v>-24</v>
      </c>
      <c r="H97" s="153">
        <f t="shared" si="3"/>
        <v>0</v>
      </c>
      <c r="R97" s="133"/>
    </row>
    <row r="98" spans="1:18" ht="27" customHeight="1">
      <c r="A98" s="181"/>
      <c r="B98" s="172" t="s">
        <v>164</v>
      </c>
      <c r="C98" s="183"/>
      <c r="D98" s="139"/>
      <c r="E98" s="139"/>
      <c r="F98" s="139">
        <f>2.2+1.9</f>
        <v>4.0999999999999996</v>
      </c>
      <c r="G98" s="153">
        <f t="shared" si="2"/>
        <v>4.0999999999999996</v>
      </c>
      <c r="H98" s="153"/>
      <c r="R98" s="133"/>
    </row>
    <row r="99" spans="1:18" ht="27" customHeight="1">
      <c r="A99" s="168"/>
      <c r="B99" s="169" t="s">
        <v>191</v>
      </c>
      <c r="C99" s="136"/>
      <c r="D99" s="139"/>
      <c r="E99" s="139">
        <v>2</v>
      </c>
      <c r="F99" s="139">
        <v>1.7</v>
      </c>
      <c r="G99" s="153">
        <f t="shared" si="2"/>
        <v>-0.30000000000000004</v>
      </c>
      <c r="H99" s="153">
        <f t="shared" si="3"/>
        <v>85</v>
      </c>
      <c r="R99" s="133"/>
    </row>
    <row r="100" spans="1:18" ht="27" customHeight="1">
      <c r="A100" s="168"/>
      <c r="B100" s="169" t="s">
        <v>203</v>
      </c>
      <c r="C100" s="136"/>
      <c r="D100" s="139"/>
      <c r="E100" s="139"/>
      <c r="F100" s="139">
        <v>0.7</v>
      </c>
      <c r="G100" s="153">
        <f t="shared" si="2"/>
        <v>0.7</v>
      </c>
      <c r="H100" s="153"/>
      <c r="R100" s="133"/>
    </row>
    <row r="101" spans="1:18" ht="27" customHeight="1">
      <c r="A101" s="168"/>
      <c r="B101" s="169" t="s">
        <v>190</v>
      </c>
      <c r="C101" s="136"/>
      <c r="D101" s="139"/>
      <c r="E101" s="139"/>
      <c r="F101" s="139">
        <v>0.2</v>
      </c>
      <c r="G101" s="153">
        <f t="shared" si="2"/>
        <v>0.2</v>
      </c>
      <c r="H101" s="153"/>
      <c r="R101" s="133"/>
    </row>
    <row r="102" spans="1:18" ht="24.75" customHeight="1">
      <c r="A102" s="176" t="s">
        <v>106</v>
      </c>
      <c r="B102" s="192" t="s">
        <v>89</v>
      </c>
      <c r="C102" s="193">
        <v>1030</v>
      </c>
      <c r="D102" s="141">
        <f>SUM(D103)</f>
        <v>0</v>
      </c>
      <c r="E102" s="141">
        <f t="shared" ref="E102:F102" si="29">SUM(E103)</f>
        <v>53.400000000000006</v>
      </c>
      <c r="F102" s="141">
        <f t="shared" si="29"/>
        <v>59</v>
      </c>
      <c r="G102" s="152">
        <f t="shared" si="2"/>
        <v>5.5999999999999943</v>
      </c>
      <c r="H102" s="152">
        <f t="shared" si="3"/>
        <v>110.48689138576778</v>
      </c>
      <c r="R102" s="133"/>
    </row>
    <row r="103" spans="1:18" ht="24.75" customHeight="1">
      <c r="A103" s="165" t="s">
        <v>377</v>
      </c>
      <c r="B103" s="194" t="s">
        <v>89</v>
      </c>
      <c r="C103" s="171">
        <v>1035</v>
      </c>
      <c r="D103" s="140"/>
      <c r="E103" s="140">
        <f>SUM(E104:E108)</f>
        <v>53.400000000000006</v>
      </c>
      <c r="F103" s="140">
        <f>SUM(F104:F108)</f>
        <v>59</v>
      </c>
      <c r="G103" s="128">
        <f t="shared" si="2"/>
        <v>5.5999999999999943</v>
      </c>
      <c r="H103" s="128">
        <f t="shared" si="3"/>
        <v>110.48689138576778</v>
      </c>
      <c r="R103" s="133"/>
    </row>
    <row r="104" spans="1:18" ht="24.75" customHeight="1">
      <c r="A104" s="195"/>
      <c r="B104" s="196" t="s">
        <v>202</v>
      </c>
      <c r="C104" s="136"/>
      <c r="D104" s="139"/>
      <c r="E104" s="139">
        <v>1.2</v>
      </c>
      <c r="F104" s="139">
        <v>1.2</v>
      </c>
      <c r="G104" s="153">
        <f t="shared" si="2"/>
        <v>0</v>
      </c>
      <c r="H104" s="153">
        <f t="shared" si="3"/>
        <v>100</v>
      </c>
      <c r="R104" s="133"/>
    </row>
    <row r="105" spans="1:18" ht="24.75" customHeight="1">
      <c r="A105" s="195"/>
      <c r="B105" s="196" t="s">
        <v>189</v>
      </c>
      <c r="C105" s="136"/>
      <c r="D105" s="139"/>
      <c r="E105" s="139"/>
      <c r="F105" s="139">
        <f>7.5</f>
        <v>7.5</v>
      </c>
      <c r="G105" s="153">
        <f t="shared" si="2"/>
        <v>7.5</v>
      </c>
      <c r="H105" s="153"/>
      <c r="R105" s="133"/>
    </row>
    <row r="106" spans="1:18" ht="24.75" customHeight="1">
      <c r="A106" s="195"/>
      <c r="B106" s="196" t="s">
        <v>175</v>
      </c>
      <c r="C106" s="136"/>
      <c r="D106" s="139"/>
      <c r="E106" s="139">
        <v>51.2</v>
      </c>
      <c r="F106" s="139">
        <v>50.3</v>
      </c>
      <c r="G106" s="153">
        <f t="shared" si="2"/>
        <v>-0.90000000000000568</v>
      </c>
      <c r="H106" s="153">
        <f t="shared" si="3"/>
        <v>98.242187499999986</v>
      </c>
      <c r="R106" s="133"/>
    </row>
    <row r="107" spans="1:18" ht="24.75" customHeight="1">
      <c r="A107" s="195"/>
      <c r="B107" s="196" t="s">
        <v>203</v>
      </c>
      <c r="C107" s="136"/>
      <c r="D107" s="139"/>
      <c r="E107" s="139">
        <v>0.7</v>
      </c>
      <c r="F107" s="139"/>
      <c r="G107" s="153">
        <f t="shared" si="2"/>
        <v>-0.7</v>
      </c>
      <c r="H107" s="153">
        <f t="shared" si="3"/>
        <v>0</v>
      </c>
      <c r="R107" s="133"/>
    </row>
    <row r="108" spans="1:18" ht="24.75" customHeight="1">
      <c r="A108" s="168"/>
      <c r="B108" s="196" t="s">
        <v>44</v>
      </c>
      <c r="C108" s="136"/>
      <c r="D108" s="139"/>
      <c r="E108" s="139">
        <v>0.3</v>
      </c>
      <c r="F108" s="139"/>
      <c r="G108" s="153">
        <f t="shared" si="2"/>
        <v>-0.3</v>
      </c>
      <c r="H108" s="153">
        <f t="shared" si="3"/>
        <v>0</v>
      </c>
      <c r="R108" s="133"/>
    </row>
    <row r="109" spans="1:18" ht="24.75" customHeight="1">
      <c r="A109" s="195" t="s">
        <v>107</v>
      </c>
      <c r="B109" s="194" t="s">
        <v>205</v>
      </c>
      <c r="C109" s="161"/>
      <c r="D109" s="140">
        <f>SUM(D111,D127,D131)</f>
        <v>293.8</v>
      </c>
      <c r="E109" s="140">
        <f t="shared" ref="E109:F109" si="30">SUM(E111,E127,E131)</f>
        <v>202</v>
      </c>
      <c r="F109" s="140">
        <f t="shared" si="30"/>
        <v>206.60000000000002</v>
      </c>
      <c r="G109" s="128">
        <f t="shared" si="2"/>
        <v>4.6000000000000227</v>
      </c>
      <c r="H109" s="128">
        <f t="shared" si="3"/>
        <v>102.27722772277228</v>
      </c>
      <c r="R109" s="133"/>
    </row>
    <row r="110" spans="1:18" ht="24.75" customHeight="1">
      <c r="A110" s="162"/>
      <c r="B110" s="160" t="s">
        <v>82</v>
      </c>
      <c r="C110" s="161"/>
      <c r="D110" s="139"/>
      <c r="E110" s="139"/>
      <c r="F110" s="139"/>
      <c r="G110" s="128"/>
      <c r="H110" s="128"/>
      <c r="R110" s="133"/>
    </row>
    <row r="111" spans="1:18" ht="24.75" customHeight="1">
      <c r="A111" s="162" t="s">
        <v>110</v>
      </c>
      <c r="B111" s="174" t="s">
        <v>86</v>
      </c>
      <c r="C111" s="164">
        <v>1010</v>
      </c>
      <c r="D111" s="141">
        <f>D112+D118</f>
        <v>133.4</v>
      </c>
      <c r="E111" s="141">
        <f>E112+E118</f>
        <v>198.7</v>
      </c>
      <c r="F111" s="141">
        <f>F112+F118</f>
        <v>203.3</v>
      </c>
      <c r="G111" s="152">
        <f t="shared" si="2"/>
        <v>4.6000000000000227</v>
      </c>
      <c r="H111" s="152">
        <f t="shared" si="3"/>
        <v>102.31504781077001</v>
      </c>
      <c r="R111" s="133"/>
    </row>
    <row r="112" spans="1:18" ht="24.75" customHeight="1">
      <c r="A112" s="195" t="s">
        <v>274</v>
      </c>
      <c r="B112" s="166" t="s">
        <v>109</v>
      </c>
      <c r="C112" s="167">
        <v>1011</v>
      </c>
      <c r="D112" s="140">
        <f>SUM(D113:D117)</f>
        <v>0</v>
      </c>
      <c r="E112" s="140">
        <f>SUM(E113:E117)</f>
        <v>177.1</v>
      </c>
      <c r="F112" s="140">
        <f>SUM(F113:F117)</f>
        <v>195.5</v>
      </c>
      <c r="G112" s="128">
        <f t="shared" si="2"/>
        <v>18.400000000000006</v>
      </c>
      <c r="H112" s="128">
        <f t="shared" si="3"/>
        <v>110.3896103896104</v>
      </c>
      <c r="R112" s="133"/>
    </row>
    <row r="113" spans="1:18" ht="24.75" customHeight="1">
      <c r="A113" s="162"/>
      <c r="B113" s="169" t="s">
        <v>148</v>
      </c>
      <c r="C113" s="183"/>
      <c r="D113" s="139"/>
      <c r="E113" s="139">
        <v>7.4</v>
      </c>
      <c r="F113" s="139">
        <v>2.4</v>
      </c>
      <c r="G113" s="153">
        <f t="shared" si="2"/>
        <v>-5</v>
      </c>
      <c r="H113" s="153">
        <f t="shared" si="3"/>
        <v>32.432432432432428</v>
      </c>
      <c r="R113" s="133"/>
    </row>
    <row r="114" spans="1:18" ht="24.75" customHeight="1">
      <c r="A114" s="197"/>
      <c r="B114" s="169" t="s">
        <v>149</v>
      </c>
      <c r="C114" s="193"/>
      <c r="D114" s="139"/>
      <c r="E114" s="139">
        <v>90.6</v>
      </c>
      <c r="F114" s="139">
        <f>52+43.1</f>
        <v>95.1</v>
      </c>
      <c r="G114" s="153">
        <f t="shared" si="2"/>
        <v>4.5</v>
      </c>
      <c r="H114" s="153">
        <f t="shared" si="3"/>
        <v>104.96688741721853</v>
      </c>
      <c r="R114" s="133"/>
    </row>
    <row r="115" spans="1:18" ht="24.75" customHeight="1">
      <c r="A115" s="197"/>
      <c r="B115" s="169" t="s">
        <v>207</v>
      </c>
      <c r="C115" s="193"/>
      <c r="D115" s="139"/>
      <c r="E115" s="139">
        <v>26.5</v>
      </c>
      <c r="F115" s="139">
        <v>4.5999999999999996</v>
      </c>
      <c r="G115" s="153">
        <f t="shared" si="2"/>
        <v>-21.9</v>
      </c>
      <c r="H115" s="153">
        <f t="shared" si="3"/>
        <v>17.358490566037734</v>
      </c>
      <c r="R115" s="133"/>
    </row>
    <row r="116" spans="1:18" ht="39.75" customHeight="1">
      <c r="A116" s="197"/>
      <c r="B116" s="169" t="s">
        <v>177</v>
      </c>
      <c r="C116" s="193"/>
      <c r="D116" s="139"/>
      <c r="E116" s="139">
        <v>36.6</v>
      </c>
      <c r="F116" s="139"/>
      <c r="G116" s="153">
        <f t="shared" si="2"/>
        <v>-36.6</v>
      </c>
      <c r="H116" s="153">
        <f t="shared" si="3"/>
        <v>0</v>
      </c>
      <c r="R116" s="133"/>
    </row>
    <row r="117" spans="1:18" ht="42.75" customHeight="1">
      <c r="A117" s="197"/>
      <c r="B117" s="169" t="s">
        <v>208</v>
      </c>
      <c r="C117" s="193"/>
      <c r="D117" s="139"/>
      <c r="E117" s="139">
        <v>16</v>
      </c>
      <c r="F117" s="139">
        <v>93.4</v>
      </c>
      <c r="G117" s="153">
        <f t="shared" si="2"/>
        <v>77.400000000000006</v>
      </c>
      <c r="H117" s="153">
        <f t="shared" si="3"/>
        <v>583.75</v>
      </c>
      <c r="R117" s="133"/>
    </row>
    <row r="118" spans="1:18" ht="24.75" customHeight="1">
      <c r="A118" s="195" t="s">
        <v>378</v>
      </c>
      <c r="B118" s="198" t="s">
        <v>209</v>
      </c>
      <c r="C118" s="157">
        <v>1015</v>
      </c>
      <c r="D118" s="140">
        <f>SUM(D119:D126)</f>
        <v>133.4</v>
      </c>
      <c r="E118" s="140">
        <f>SUM(E120:E126)</f>
        <v>21.599999999999998</v>
      </c>
      <c r="F118" s="140">
        <f>SUM(F119:F126)</f>
        <v>7.8000000000000007</v>
      </c>
      <c r="G118" s="128">
        <f t="shared" si="2"/>
        <v>-13.799999999999997</v>
      </c>
      <c r="H118" s="128">
        <f t="shared" si="3"/>
        <v>36.111111111111114</v>
      </c>
      <c r="R118" s="133"/>
    </row>
    <row r="119" spans="1:18" ht="48.75" customHeight="1">
      <c r="A119" s="195"/>
      <c r="B119" s="169" t="s">
        <v>201</v>
      </c>
      <c r="C119" s="157"/>
      <c r="D119" s="139">
        <v>9.1999999999999993</v>
      </c>
      <c r="E119" s="139"/>
      <c r="F119" s="139"/>
      <c r="G119" s="152">
        <f t="shared" si="2"/>
        <v>0</v>
      </c>
      <c r="H119" s="152"/>
      <c r="R119" s="133"/>
    </row>
    <row r="120" spans="1:18" ht="24.75" customHeight="1">
      <c r="A120" s="197"/>
      <c r="B120" s="199" t="s">
        <v>210</v>
      </c>
      <c r="C120" s="161"/>
      <c r="D120" s="139"/>
      <c r="E120" s="139">
        <v>1.5</v>
      </c>
      <c r="F120" s="139">
        <v>1.5</v>
      </c>
      <c r="G120" s="153">
        <f t="shared" si="2"/>
        <v>0</v>
      </c>
      <c r="H120" s="153">
        <f t="shared" si="3"/>
        <v>100</v>
      </c>
      <c r="R120" s="133"/>
    </row>
    <row r="121" spans="1:18" ht="24.75" customHeight="1">
      <c r="A121" s="197"/>
      <c r="B121" s="189" t="s">
        <v>211</v>
      </c>
      <c r="C121" s="161"/>
      <c r="D121" s="139"/>
      <c r="E121" s="139">
        <v>5.4</v>
      </c>
      <c r="F121" s="139">
        <v>5.4</v>
      </c>
      <c r="G121" s="153">
        <f t="shared" si="2"/>
        <v>0</v>
      </c>
      <c r="H121" s="153">
        <f t="shared" si="3"/>
        <v>100</v>
      </c>
      <c r="R121" s="133"/>
    </row>
    <row r="122" spans="1:18" ht="24.75" customHeight="1">
      <c r="A122" s="197"/>
      <c r="B122" s="189" t="s">
        <v>212</v>
      </c>
      <c r="C122" s="161"/>
      <c r="D122" s="139"/>
      <c r="E122" s="139">
        <v>1.7</v>
      </c>
      <c r="F122" s="139"/>
      <c r="G122" s="153">
        <f t="shared" si="2"/>
        <v>-1.7</v>
      </c>
      <c r="H122" s="153">
        <f t="shared" si="3"/>
        <v>0</v>
      </c>
      <c r="R122" s="133"/>
    </row>
    <row r="123" spans="1:18" ht="24.75" customHeight="1">
      <c r="A123" s="197"/>
      <c r="B123" s="160" t="s">
        <v>185</v>
      </c>
      <c r="C123" s="161"/>
      <c r="D123" s="139">
        <v>124.2</v>
      </c>
      <c r="E123" s="139">
        <v>8.1999999999999993</v>
      </c>
      <c r="F123" s="139"/>
      <c r="G123" s="153">
        <f t="shared" si="2"/>
        <v>-8.1999999999999993</v>
      </c>
      <c r="H123" s="153">
        <f t="shared" si="3"/>
        <v>0</v>
      </c>
      <c r="R123" s="133"/>
    </row>
    <row r="124" spans="1:18" ht="24.75" customHeight="1">
      <c r="A124" s="197"/>
      <c r="B124" s="169" t="s">
        <v>165</v>
      </c>
      <c r="C124" s="161"/>
      <c r="D124" s="139"/>
      <c r="E124" s="139">
        <v>0.2</v>
      </c>
      <c r="F124" s="139">
        <v>0.2</v>
      </c>
      <c r="G124" s="153">
        <f t="shared" si="2"/>
        <v>0</v>
      </c>
      <c r="H124" s="153">
        <f t="shared" si="3"/>
        <v>100</v>
      </c>
      <c r="R124" s="133"/>
    </row>
    <row r="125" spans="1:18" ht="24.75" customHeight="1">
      <c r="A125" s="197"/>
      <c r="B125" s="169" t="s">
        <v>213</v>
      </c>
      <c r="C125" s="161"/>
      <c r="D125" s="139"/>
      <c r="E125" s="139">
        <v>4.5</v>
      </c>
      <c r="F125" s="139"/>
      <c r="G125" s="153">
        <f t="shared" si="2"/>
        <v>-4.5</v>
      </c>
      <c r="H125" s="153">
        <f t="shared" si="3"/>
        <v>0</v>
      </c>
      <c r="R125" s="133"/>
    </row>
    <row r="126" spans="1:18" ht="24.75" customHeight="1">
      <c r="A126" s="197"/>
      <c r="B126" s="169" t="s">
        <v>193</v>
      </c>
      <c r="C126" s="161"/>
      <c r="D126" s="139"/>
      <c r="E126" s="139">
        <v>0.1</v>
      </c>
      <c r="F126" s="139">
        <v>0.7</v>
      </c>
      <c r="G126" s="153">
        <f t="shared" si="2"/>
        <v>0.6</v>
      </c>
      <c r="H126" s="153">
        <f t="shared" si="3"/>
        <v>699.99999999999989</v>
      </c>
      <c r="R126" s="133"/>
    </row>
    <row r="127" spans="1:18" ht="24.75" customHeight="1">
      <c r="A127" s="162" t="s">
        <v>111</v>
      </c>
      <c r="B127" s="174" t="s">
        <v>88</v>
      </c>
      <c r="C127" s="164">
        <v>1020</v>
      </c>
      <c r="D127" s="141">
        <f>D128</f>
        <v>71.5</v>
      </c>
      <c r="E127" s="141"/>
      <c r="F127" s="141">
        <f>F128</f>
        <v>0</v>
      </c>
      <c r="G127" s="153">
        <f t="shared" si="2"/>
        <v>0</v>
      </c>
      <c r="H127" s="153"/>
      <c r="R127" s="133"/>
    </row>
    <row r="128" spans="1:18" ht="24.75" customHeight="1">
      <c r="A128" s="195" t="s">
        <v>379</v>
      </c>
      <c r="B128" s="191" t="s">
        <v>199</v>
      </c>
      <c r="C128" s="167">
        <v>1025</v>
      </c>
      <c r="D128" s="140">
        <f>SUM(D129:D130)</f>
        <v>71.5</v>
      </c>
      <c r="E128" s="140"/>
      <c r="F128" s="140">
        <f>F129+F130</f>
        <v>0</v>
      </c>
      <c r="G128" s="153">
        <f t="shared" si="2"/>
        <v>0</v>
      </c>
      <c r="H128" s="153"/>
      <c r="R128" s="133"/>
    </row>
    <row r="129" spans="1:18" ht="24.75" customHeight="1">
      <c r="A129" s="200"/>
      <c r="B129" s="169" t="s">
        <v>282</v>
      </c>
      <c r="C129" s="136"/>
      <c r="D129" s="139">
        <v>69.8</v>
      </c>
      <c r="E129" s="139"/>
      <c r="F129" s="139"/>
      <c r="G129" s="153">
        <f t="shared" si="2"/>
        <v>0</v>
      </c>
      <c r="H129" s="153"/>
      <c r="R129" s="133"/>
    </row>
    <row r="130" spans="1:18" ht="24.75" customHeight="1">
      <c r="A130" s="162"/>
      <c r="B130" s="169" t="s">
        <v>214</v>
      </c>
      <c r="C130" s="161"/>
      <c r="D130" s="139">
        <v>1.7</v>
      </c>
      <c r="E130" s="139"/>
      <c r="F130" s="139"/>
      <c r="G130" s="153">
        <f t="shared" si="2"/>
        <v>0</v>
      </c>
      <c r="H130" s="153"/>
      <c r="R130" s="133"/>
    </row>
    <row r="131" spans="1:18" ht="24.75" customHeight="1">
      <c r="A131" s="162" t="s">
        <v>112</v>
      </c>
      <c r="B131" s="174" t="s">
        <v>89</v>
      </c>
      <c r="C131" s="164">
        <v>1030</v>
      </c>
      <c r="D131" s="141">
        <f>D132+D135</f>
        <v>88.899999999999991</v>
      </c>
      <c r="E131" s="141">
        <f>E135</f>
        <v>3.3</v>
      </c>
      <c r="F131" s="141">
        <f>F132+F135</f>
        <v>3.3</v>
      </c>
      <c r="G131" s="153">
        <f t="shared" si="2"/>
        <v>0</v>
      </c>
      <c r="H131" s="152">
        <f t="shared" si="3"/>
        <v>100</v>
      </c>
      <c r="R131" s="133"/>
    </row>
    <row r="132" spans="1:18" ht="24.75" customHeight="1">
      <c r="A132" s="195" t="s">
        <v>277</v>
      </c>
      <c r="B132" s="180" t="s">
        <v>109</v>
      </c>
      <c r="C132" s="167">
        <v>1031</v>
      </c>
      <c r="D132" s="140">
        <f>SUM(D133:D134)</f>
        <v>81.8</v>
      </c>
      <c r="E132" s="140"/>
      <c r="F132" s="140">
        <f>SUM(F133:F134)</f>
        <v>0</v>
      </c>
      <c r="G132" s="153">
        <f t="shared" si="2"/>
        <v>0</v>
      </c>
      <c r="H132" s="153"/>
      <c r="R132" s="133"/>
    </row>
    <row r="133" spans="1:18" ht="24.75" customHeight="1">
      <c r="A133" s="197"/>
      <c r="B133" s="160" t="s">
        <v>149</v>
      </c>
      <c r="C133" s="136"/>
      <c r="D133" s="139">
        <v>80.5</v>
      </c>
      <c r="E133" s="139"/>
      <c r="F133" s="139"/>
      <c r="G133" s="153">
        <f t="shared" si="2"/>
        <v>0</v>
      </c>
      <c r="H133" s="153"/>
      <c r="R133" s="133"/>
    </row>
    <row r="134" spans="1:18" ht="24.75" customHeight="1">
      <c r="A134" s="200"/>
      <c r="B134" s="187" t="s">
        <v>285</v>
      </c>
      <c r="C134" s="201"/>
      <c r="D134" s="139">
        <v>1.3</v>
      </c>
      <c r="E134" s="139"/>
      <c r="F134" s="139"/>
      <c r="G134" s="153">
        <f t="shared" si="2"/>
        <v>0</v>
      </c>
      <c r="H134" s="153"/>
      <c r="R134" s="133"/>
    </row>
    <row r="135" spans="1:18" ht="24.75" customHeight="1">
      <c r="A135" s="195" t="s">
        <v>380</v>
      </c>
      <c r="B135" s="194" t="s">
        <v>89</v>
      </c>
      <c r="C135" s="167">
        <v>1035</v>
      </c>
      <c r="D135" s="140">
        <f>SUM(D136:D141)</f>
        <v>7.1000000000000005</v>
      </c>
      <c r="E135" s="140">
        <f>E140</f>
        <v>3.3</v>
      </c>
      <c r="F135" s="140">
        <f>SUM(F136:F141)</f>
        <v>3.3</v>
      </c>
      <c r="G135" s="153">
        <f t="shared" si="2"/>
        <v>0</v>
      </c>
      <c r="H135" s="128">
        <f t="shared" si="3"/>
        <v>100</v>
      </c>
      <c r="R135" s="133"/>
    </row>
    <row r="136" spans="1:18" ht="36" customHeight="1">
      <c r="A136" s="195"/>
      <c r="B136" s="169" t="s">
        <v>201</v>
      </c>
      <c r="C136" s="167"/>
      <c r="D136" s="139">
        <v>0.9</v>
      </c>
      <c r="E136" s="139"/>
      <c r="F136" s="139"/>
      <c r="G136" s="153">
        <f t="shared" si="2"/>
        <v>0</v>
      </c>
      <c r="H136" s="153"/>
      <c r="R136" s="133"/>
    </row>
    <row r="137" spans="1:18" ht="24.75" customHeight="1">
      <c r="A137" s="195"/>
      <c r="B137" s="169" t="s">
        <v>214</v>
      </c>
      <c r="C137" s="167"/>
      <c r="D137" s="139">
        <v>0.8</v>
      </c>
      <c r="E137" s="139"/>
      <c r="F137" s="139"/>
      <c r="G137" s="153">
        <f t="shared" si="2"/>
        <v>0</v>
      </c>
      <c r="H137" s="153"/>
      <c r="R137" s="133"/>
    </row>
    <row r="138" spans="1:18" ht="24.75" customHeight="1">
      <c r="A138" s="195"/>
      <c r="B138" s="160" t="s">
        <v>192</v>
      </c>
      <c r="C138" s="167"/>
      <c r="D138" s="139">
        <v>0.5</v>
      </c>
      <c r="E138" s="139"/>
      <c r="F138" s="139"/>
      <c r="G138" s="153">
        <f t="shared" si="2"/>
        <v>0</v>
      </c>
      <c r="H138" s="153"/>
      <c r="R138" s="133"/>
    </row>
    <row r="139" spans="1:18" ht="24.75" customHeight="1">
      <c r="A139" s="195"/>
      <c r="B139" s="160" t="s">
        <v>286</v>
      </c>
      <c r="C139" s="167"/>
      <c r="D139" s="139">
        <v>3.6</v>
      </c>
      <c r="E139" s="139"/>
      <c r="F139" s="139"/>
      <c r="G139" s="153">
        <f t="shared" si="2"/>
        <v>0</v>
      </c>
      <c r="H139" s="153"/>
      <c r="R139" s="133"/>
    </row>
    <row r="140" spans="1:18" ht="24.75" customHeight="1">
      <c r="A140" s="162"/>
      <c r="B140" s="160" t="s">
        <v>217</v>
      </c>
      <c r="C140" s="161"/>
      <c r="D140" s="139"/>
      <c r="E140" s="139">
        <v>3.3</v>
      </c>
      <c r="F140" s="139">
        <v>3.3</v>
      </c>
      <c r="G140" s="153">
        <f t="shared" si="2"/>
        <v>0</v>
      </c>
      <c r="H140" s="153">
        <f t="shared" si="3"/>
        <v>100</v>
      </c>
      <c r="R140" s="133"/>
    </row>
    <row r="141" spans="1:18" ht="24.75" customHeight="1">
      <c r="A141" s="162"/>
      <c r="B141" s="160" t="s">
        <v>287</v>
      </c>
      <c r="C141" s="161"/>
      <c r="D141" s="139">
        <v>1.3</v>
      </c>
      <c r="E141" s="139"/>
      <c r="F141" s="139"/>
      <c r="G141" s="153">
        <f t="shared" si="2"/>
        <v>0</v>
      </c>
      <c r="H141" s="153"/>
      <c r="R141" s="133"/>
    </row>
    <row r="142" spans="1:18" ht="45.75" customHeight="1">
      <c r="A142" s="195" t="s">
        <v>228</v>
      </c>
      <c r="B142" s="202" t="s">
        <v>218</v>
      </c>
      <c r="C142" s="161"/>
      <c r="D142" s="140">
        <f>SUM(D144,D157,D173)</f>
        <v>439.4</v>
      </c>
      <c r="E142" s="140">
        <f t="shared" ref="E142:F142" si="31">SUM(E144,E157,E173)</f>
        <v>252.39999999999998</v>
      </c>
      <c r="F142" s="140">
        <f t="shared" si="31"/>
        <v>66.900000000000006</v>
      </c>
      <c r="G142" s="128">
        <f t="shared" si="2"/>
        <v>-185.49999999999997</v>
      </c>
      <c r="H142" s="128">
        <f t="shared" si="3"/>
        <v>26.505546751188596</v>
      </c>
      <c r="R142" s="133"/>
    </row>
    <row r="143" spans="1:18" ht="24.75" customHeight="1">
      <c r="A143" s="162"/>
      <c r="B143" s="160" t="s">
        <v>82</v>
      </c>
      <c r="C143" s="161"/>
      <c r="D143" s="139"/>
      <c r="E143" s="139"/>
      <c r="F143" s="139"/>
      <c r="G143" s="128"/>
      <c r="H143" s="128"/>
      <c r="R143" s="133"/>
    </row>
    <row r="144" spans="1:18" ht="24.75" customHeight="1">
      <c r="A144" s="162" t="s">
        <v>108</v>
      </c>
      <c r="B144" s="174" t="s">
        <v>86</v>
      </c>
      <c r="C144" s="164">
        <v>1010</v>
      </c>
      <c r="D144" s="141">
        <f>D145+D151</f>
        <v>401.09999999999997</v>
      </c>
      <c r="E144" s="141">
        <f>E145+E151</f>
        <v>153.69999999999999</v>
      </c>
      <c r="F144" s="141">
        <f>F145+F151</f>
        <v>22.299999999999997</v>
      </c>
      <c r="G144" s="152">
        <f t="shared" si="2"/>
        <v>-131.39999999999998</v>
      </c>
      <c r="H144" s="152">
        <f t="shared" si="3"/>
        <v>14.508783344176967</v>
      </c>
      <c r="R144" s="133"/>
    </row>
    <row r="145" spans="1:18" ht="24.75" customHeight="1">
      <c r="A145" s="165" t="s">
        <v>381</v>
      </c>
      <c r="B145" s="166" t="s">
        <v>109</v>
      </c>
      <c r="C145" s="167">
        <v>1011</v>
      </c>
      <c r="D145" s="140">
        <f>SUM(D146:D150)</f>
        <v>28.4</v>
      </c>
      <c r="E145" s="140">
        <f>SUM(E147:E150)</f>
        <v>133</v>
      </c>
      <c r="F145" s="140">
        <f>SUM(F146:F150)</f>
        <v>0</v>
      </c>
      <c r="G145" s="128">
        <f t="shared" si="2"/>
        <v>-133</v>
      </c>
      <c r="H145" s="128">
        <f t="shared" si="3"/>
        <v>0</v>
      </c>
      <c r="R145" s="133"/>
    </row>
    <row r="146" spans="1:18" ht="24.75" customHeight="1">
      <c r="A146" s="165"/>
      <c r="B146" s="169" t="s">
        <v>147</v>
      </c>
      <c r="C146" s="167"/>
      <c r="D146" s="139">
        <v>5.3</v>
      </c>
      <c r="E146" s="139"/>
      <c r="F146" s="139"/>
      <c r="G146" s="152">
        <f t="shared" si="2"/>
        <v>0</v>
      </c>
      <c r="H146" s="152"/>
      <c r="R146" s="133"/>
    </row>
    <row r="147" spans="1:18" ht="24.75" customHeight="1">
      <c r="A147" s="181"/>
      <c r="B147" s="169" t="s">
        <v>148</v>
      </c>
      <c r="C147" s="136"/>
      <c r="D147" s="139">
        <v>1.7</v>
      </c>
      <c r="E147" s="139"/>
      <c r="F147" s="139"/>
      <c r="G147" s="152">
        <f t="shared" si="2"/>
        <v>0</v>
      </c>
      <c r="H147" s="152"/>
      <c r="R147" s="133"/>
    </row>
    <row r="148" spans="1:18" ht="24.75" customHeight="1">
      <c r="A148" s="181"/>
      <c r="B148" s="169" t="s">
        <v>178</v>
      </c>
      <c r="C148" s="136"/>
      <c r="D148" s="139">
        <v>12.2</v>
      </c>
      <c r="E148" s="139">
        <v>11.3</v>
      </c>
      <c r="F148" s="139"/>
      <c r="G148" s="153">
        <f t="shared" si="2"/>
        <v>-11.3</v>
      </c>
      <c r="H148" s="152">
        <f t="shared" si="3"/>
        <v>0</v>
      </c>
      <c r="R148" s="133"/>
    </row>
    <row r="149" spans="1:18" ht="41.25" customHeight="1">
      <c r="A149" s="181"/>
      <c r="B149" s="169" t="s">
        <v>177</v>
      </c>
      <c r="C149" s="136"/>
      <c r="D149" s="139">
        <v>9.1999999999999993</v>
      </c>
      <c r="E149" s="139">
        <v>87.4</v>
      </c>
      <c r="F149" s="139"/>
      <c r="G149" s="153">
        <f t="shared" si="2"/>
        <v>-87.4</v>
      </c>
      <c r="H149" s="152">
        <f t="shared" si="3"/>
        <v>0</v>
      </c>
      <c r="R149" s="133"/>
    </row>
    <row r="150" spans="1:18" ht="42" customHeight="1">
      <c r="A150" s="181"/>
      <c r="B150" s="169" t="s">
        <v>179</v>
      </c>
      <c r="C150" s="136"/>
      <c r="D150" s="139"/>
      <c r="E150" s="139">
        <v>34.299999999999997</v>
      </c>
      <c r="F150" s="139"/>
      <c r="G150" s="153">
        <f t="shared" si="2"/>
        <v>-34.299999999999997</v>
      </c>
      <c r="H150" s="152">
        <f t="shared" si="3"/>
        <v>0</v>
      </c>
      <c r="R150" s="133"/>
    </row>
    <row r="151" spans="1:18" ht="24.75" customHeight="1">
      <c r="A151" s="165" t="s">
        <v>449</v>
      </c>
      <c r="B151" s="194" t="s">
        <v>220</v>
      </c>
      <c r="C151" s="171">
        <v>1015</v>
      </c>
      <c r="D151" s="140">
        <f>SUM(D152:D154)</f>
        <v>372.7</v>
      </c>
      <c r="E151" s="140">
        <f>E153</f>
        <v>20.7</v>
      </c>
      <c r="F151" s="140">
        <f>SUM(F152:F156)</f>
        <v>22.299999999999997</v>
      </c>
      <c r="G151" s="128">
        <f t="shared" si="2"/>
        <v>1.5999999999999979</v>
      </c>
      <c r="H151" s="128">
        <f t="shared" si="3"/>
        <v>107.72946859903381</v>
      </c>
      <c r="R151" s="133"/>
    </row>
    <row r="152" spans="1:18" ht="24.75" customHeight="1">
      <c r="A152" s="165"/>
      <c r="B152" s="160" t="s">
        <v>195</v>
      </c>
      <c r="C152" s="171"/>
      <c r="D152" s="139">
        <v>0.3</v>
      </c>
      <c r="E152" s="139"/>
      <c r="F152" s="139"/>
      <c r="G152" s="152">
        <f t="shared" si="2"/>
        <v>0</v>
      </c>
      <c r="H152" s="152"/>
      <c r="R152" s="133"/>
    </row>
    <row r="153" spans="1:18" ht="24.75" customHeight="1">
      <c r="A153" s="165"/>
      <c r="B153" s="169" t="s">
        <v>185</v>
      </c>
      <c r="C153" s="136"/>
      <c r="D153" s="139">
        <v>350.5</v>
      </c>
      <c r="E153" s="139">
        <v>20.7</v>
      </c>
      <c r="F153" s="139"/>
      <c r="G153" s="153">
        <f t="shared" si="2"/>
        <v>-20.7</v>
      </c>
      <c r="H153" s="152">
        <f t="shared" si="3"/>
        <v>0</v>
      </c>
      <c r="R153" s="133"/>
    </row>
    <row r="154" spans="1:18" ht="24.75" customHeight="1">
      <c r="A154" s="165"/>
      <c r="B154" s="169" t="s">
        <v>282</v>
      </c>
      <c r="C154" s="136"/>
      <c r="D154" s="139">
        <v>21.9</v>
      </c>
      <c r="E154" s="139"/>
      <c r="F154" s="139"/>
      <c r="G154" s="153">
        <f t="shared" si="2"/>
        <v>0</v>
      </c>
      <c r="H154" s="152"/>
      <c r="R154" s="133"/>
    </row>
    <row r="155" spans="1:18" ht="24.75" customHeight="1">
      <c r="A155" s="165"/>
      <c r="B155" s="169" t="s">
        <v>187</v>
      </c>
      <c r="C155" s="136"/>
      <c r="D155" s="139"/>
      <c r="E155" s="139"/>
      <c r="F155" s="139">
        <v>5.6</v>
      </c>
      <c r="G155" s="153">
        <f t="shared" si="2"/>
        <v>5.6</v>
      </c>
      <c r="H155" s="152"/>
      <c r="R155" s="133"/>
    </row>
    <row r="156" spans="1:18" ht="24.75" customHeight="1">
      <c r="A156" s="165"/>
      <c r="B156" s="189" t="s">
        <v>223</v>
      </c>
      <c r="C156" s="136"/>
      <c r="D156" s="139"/>
      <c r="E156" s="139"/>
      <c r="F156" s="139">
        <v>16.7</v>
      </c>
      <c r="G156" s="153">
        <f t="shared" si="2"/>
        <v>16.7</v>
      </c>
      <c r="H156" s="152"/>
      <c r="R156" s="133"/>
    </row>
    <row r="157" spans="1:18" ht="24.75" customHeight="1">
      <c r="A157" s="162" t="s">
        <v>450</v>
      </c>
      <c r="B157" s="174" t="s">
        <v>88</v>
      </c>
      <c r="C157" s="164">
        <v>1020</v>
      </c>
      <c r="D157" s="141">
        <f>D161+D158</f>
        <v>37.200000000000003</v>
      </c>
      <c r="E157" s="141">
        <f>E161</f>
        <v>36.700000000000003</v>
      </c>
      <c r="F157" s="141">
        <f>F158+F161</f>
        <v>42.699999999999996</v>
      </c>
      <c r="G157" s="152">
        <f t="shared" si="2"/>
        <v>5.9999999999999929</v>
      </c>
      <c r="H157" s="152">
        <f t="shared" si="3"/>
        <v>116.34877384196183</v>
      </c>
      <c r="R157" s="133"/>
    </row>
    <row r="158" spans="1:18" ht="24.75" customHeight="1">
      <c r="A158" s="195" t="s">
        <v>451</v>
      </c>
      <c r="B158" s="180" t="s">
        <v>109</v>
      </c>
      <c r="C158" s="167">
        <v>1021</v>
      </c>
      <c r="D158" s="140">
        <f>D159+D160</f>
        <v>12.8</v>
      </c>
      <c r="E158" s="140">
        <f t="shared" ref="E158" si="32">E159+E160</f>
        <v>0</v>
      </c>
      <c r="F158" s="140">
        <f>F159+F160</f>
        <v>0</v>
      </c>
      <c r="G158" s="152">
        <f t="shared" si="2"/>
        <v>0</v>
      </c>
      <c r="H158" s="152"/>
      <c r="R158" s="133"/>
    </row>
    <row r="159" spans="1:18" ht="24.75" customHeight="1">
      <c r="A159" s="162"/>
      <c r="B159" s="169" t="s">
        <v>207</v>
      </c>
      <c r="C159" s="167"/>
      <c r="D159" s="139">
        <v>5.0999999999999996</v>
      </c>
      <c r="E159" s="139"/>
      <c r="F159" s="139"/>
      <c r="G159" s="152">
        <f t="shared" si="2"/>
        <v>0</v>
      </c>
      <c r="H159" s="152"/>
      <c r="R159" s="133"/>
    </row>
    <row r="160" spans="1:18" ht="24.75" customHeight="1">
      <c r="A160" s="162"/>
      <c r="B160" s="182" t="s">
        <v>178</v>
      </c>
      <c r="C160" s="167"/>
      <c r="D160" s="139">
        <v>7.7</v>
      </c>
      <c r="E160" s="139"/>
      <c r="F160" s="139"/>
      <c r="G160" s="152">
        <f t="shared" si="2"/>
        <v>0</v>
      </c>
      <c r="H160" s="152"/>
      <c r="R160" s="133"/>
    </row>
    <row r="161" spans="1:18" ht="24.75" customHeight="1">
      <c r="A161" s="165" t="s">
        <v>452</v>
      </c>
      <c r="B161" s="191" t="s">
        <v>199</v>
      </c>
      <c r="C161" s="167">
        <v>1025</v>
      </c>
      <c r="D161" s="140">
        <f>SUM(D162:D172)</f>
        <v>24.400000000000002</v>
      </c>
      <c r="E161" s="140">
        <f>SUM(E162:E172)</f>
        <v>36.700000000000003</v>
      </c>
      <c r="F161" s="140">
        <f>SUM(F162:F172)</f>
        <v>42.699999999999996</v>
      </c>
      <c r="G161" s="128">
        <f t="shared" si="2"/>
        <v>5.9999999999999929</v>
      </c>
      <c r="H161" s="128">
        <f t="shared" si="3"/>
        <v>116.34877384196183</v>
      </c>
      <c r="R161" s="133"/>
    </row>
    <row r="162" spans="1:18" ht="36" customHeight="1">
      <c r="A162" s="165"/>
      <c r="B162" s="169" t="s">
        <v>170</v>
      </c>
      <c r="C162" s="201"/>
      <c r="D162" s="139">
        <v>4.2</v>
      </c>
      <c r="E162" s="139">
        <v>12.4</v>
      </c>
      <c r="F162" s="139">
        <v>12.4</v>
      </c>
      <c r="G162" s="153">
        <f t="shared" si="2"/>
        <v>0</v>
      </c>
      <c r="H162" s="153">
        <f t="shared" si="3"/>
        <v>100</v>
      </c>
      <c r="R162" s="133"/>
    </row>
    <row r="163" spans="1:18" ht="24.75" customHeight="1">
      <c r="A163" s="165"/>
      <c r="B163" s="169" t="s">
        <v>282</v>
      </c>
      <c r="C163" s="201"/>
      <c r="D163" s="139">
        <v>11.2</v>
      </c>
      <c r="E163" s="139"/>
      <c r="F163" s="139"/>
      <c r="G163" s="153">
        <f t="shared" si="2"/>
        <v>0</v>
      </c>
      <c r="H163" s="153"/>
      <c r="R163" s="133"/>
    </row>
    <row r="164" spans="1:18" ht="24.75" customHeight="1">
      <c r="A164" s="165"/>
      <c r="B164" s="169" t="s">
        <v>214</v>
      </c>
      <c r="C164" s="201"/>
      <c r="D164" s="139">
        <v>0.5</v>
      </c>
      <c r="E164" s="139"/>
      <c r="F164" s="139"/>
      <c r="G164" s="153">
        <f t="shared" si="2"/>
        <v>0</v>
      </c>
      <c r="H164" s="153"/>
      <c r="R164" s="133"/>
    </row>
    <row r="165" spans="1:18" ht="24.75" customHeight="1">
      <c r="A165" s="165"/>
      <c r="B165" s="169" t="s">
        <v>165</v>
      </c>
      <c r="C165" s="201"/>
      <c r="D165" s="139">
        <v>0.8</v>
      </c>
      <c r="E165" s="139"/>
      <c r="F165" s="139"/>
      <c r="G165" s="153">
        <f t="shared" si="2"/>
        <v>0</v>
      </c>
      <c r="H165" s="153"/>
      <c r="R165" s="133"/>
    </row>
    <row r="166" spans="1:18" ht="24.75" customHeight="1">
      <c r="A166" s="165"/>
      <c r="B166" s="169" t="s">
        <v>200</v>
      </c>
      <c r="C166" s="201"/>
      <c r="D166" s="139"/>
      <c r="E166" s="139"/>
      <c r="F166" s="139">
        <v>23.9</v>
      </c>
      <c r="G166" s="153">
        <f t="shared" si="2"/>
        <v>23.9</v>
      </c>
      <c r="H166" s="153"/>
      <c r="R166" s="133"/>
    </row>
    <row r="167" spans="1:18" ht="24.75" customHeight="1">
      <c r="A167" s="165"/>
      <c r="B167" s="169" t="s">
        <v>171</v>
      </c>
      <c r="C167" s="201"/>
      <c r="D167" s="139"/>
      <c r="E167" s="139"/>
      <c r="F167" s="139">
        <v>0.3</v>
      </c>
      <c r="G167" s="153">
        <f t="shared" si="2"/>
        <v>0.3</v>
      </c>
      <c r="H167" s="153"/>
      <c r="R167" s="133"/>
    </row>
    <row r="168" spans="1:18" ht="24.75" customHeight="1">
      <c r="A168" s="165"/>
      <c r="B168" s="160" t="s">
        <v>195</v>
      </c>
      <c r="C168" s="201"/>
      <c r="D168" s="139">
        <v>1.1000000000000001</v>
      </c>
      <c r="E168" s="139"/>
      <c r="F168" s="139"/>
      <c r="G168" s="153">
        <f t="shared" si="2"/>
        <v>0</v>
      </c>
      <c r="H168" s="153"/>
      <c r="R168" s="133"/>
    </row>
    <row r="169" spans="1:18" ht="24.75" customHeight="1">
      <c r="A169" s="165"/>
      <c r="B169" s="169" t="s">
        <v>221</v>
      </c>
      <c r="C169" s="201"/>
      <c r="D169" s="139">
        <v>4.8</v>
      </c>
      <c r="E169" s="139">
        <v>6.2</v>
      </c>
      <c r="F169" s="139">
        <v>3.6</v>
      </c>
      <c r="G169" s="153">
        <f t="shared" si="2"/>
        <v>-2.6</v>
      </c>
      <c r="H169" s="153">
        <f t="shared" si="3"/>
        <v>58.064516129032263</v>
      </c>
      <c r="R169" s="133"/>
    </row>
    <row r="170" spans="1:18" ht="24.75" customHeight="1">
      <c r="A170" s="165"/>
      <c r="B170" s="189" t="s">
        <v>222</v>
      </c>
      <c r="C170" s="201"/>
      <c r="D170" s="139">
        <v>0.7</v>
      </c>
      <c r="E170" s="139">
        <v>1.4</v>
      </c>
      <c r="F170" s="139">
        <v>1.4</v>
      </c>
      <c r="G170" s="153">
        <f t="shared" si="2"/>
        <v>0</v>
      </c>
      <c r="H170" s="153">
        <f t="shared" si="3"/>
        <v>100</v>
      </c>
      <c r="R170" s="133"/>
    </row>
    <row r="171" spans="1:18" ht="24.75" customHeight="1">
      <c r="A171" s="165"/>
      <c r="B171" s="189" t="s">
        <v>254</v>
      </c>
      <c r="C171" s="201"/>
      <c r="D171" s="139">
        <v>1.1000000000000001</v>
      </c>
      <c r="E171" s="139"/>
      <c r="F171" s="139">
        <v>1.1000000000000001</v>
      </c>
      <c r="G171" s="153">
        <f t="shared" si="2"/>
        <v>1.1000000000000001</v>
      </c>
      <c r="H171" s="153"/>
      <c r="R171" s="133"/>
    </row>
    <row r="172" spans="1:18" ht="24.75" customHeight="1">
      <c r="A172" s="165"/>
      <c r="B172" s="189" t="s">
        <v>223</v>
      </c>
      <c r="C172" s="201"/>
      <c r="D172" s="139"/>
      <c r="E172" s="139">
        <v>16.7</v>
      </c>
      <c r="F172" s="139"/>
      <c r="G172" s="153">
        <f t="shared" si="2"/>
        <v>-16.7</v>
      </c>
      <c r="H172" s="153">
        <f t="shared" si="3"/>
        <v>0</v>
      </c>
      <c r="R172" s="133"/>
    </row>
    <row r="173" spans="1:18" ht="24.75" customHeight="1">
      <c r="A173" s="162" t="s">
        <v>453</v>
      </c>
      <c r="B173" s="174" t="s">
        <v>89</v>
      </c>
      <c r="C173" s="203">
        <v>1030</v>
      </c>
      <c r="D173" s="141">
        <f>SUM(D174)</f>
        <v>1.1000000000000001</v>
      </c>
      <c r="E173" s="141">
        <f t="shared" ref="E173:F173" si="33">SUM(E174)</f>
        <v>62</v>
      </c>
      <c r="F173" s="141">
        <f t="shared" si="33"/>
        <v>1.9000000000000001</v>
      </c>
      <c r="G173" s="152">
        <f t="shared" si="2"/>
        <v>-60.1</v>
      </c>
      <c r="H173" s="152">
        <f t="shared" si="3"/>
        <v>3.0645161290322585</v>
      </c>
      <c r="R173" s="133"/>
    </row>
    <row r="174" spans="1:18" ht="24.75" customHeight="1">
      <c r="A174" s="165" t="s">
        <v>454</v>
      </c>
      <c r="B174" s="204" t="s">
        <v>224</v>
      </c>
      <c r="C174" s="205">
        <v>1035</v>
      </c>
      <c r="D174" s="140">
        <f>SUM(D175:D178)</f>
        <v>1.1000000000000001</v>
      </c>
      <c r="E174" s="140">
        <f>SUM(E175:E178)</f>
        <v>62</v>
      </c>
      <c r="F174" s="140">
        <f>SUM(F175:F178)</f>
        <v>1.9000000000000001</v>
      </c>
      <c r="G174" s="128">
        <f t="shared" si="2"/>
        <v>-60.1</v>
      </c>
      <c r="H174" s="128">
        <f t="shared" si="3"/>
        <v>3.0645161290322585</v>
      </c>
      <c r="R174" s="133"/>
    </row>
    <row r="175" spans="1:18" ht="24.75" customHeight="1">
      <c r="A175" s="165"/>
      <c r="B175" s="206" t="s">
        <v>225</v>
      </c>
      <c r="C175" s="201"/>
      <c r="D175" s="139"/>
      <c r="E175" s="139">
        <v>1.6</v>
      </c>
      <c r="F175" s="139">
        <v>1.6</v>
      </c>
      <c r="G175" s="152">
        <f t="shared" si="2"/>
        <v>0</v>
      </c>
      <c r="H175" s="153">
        <f t="shared" si="3"/>
        <v>100</v>
      </c>
      <c r="R175" s="133"/>
    </row>
    <row r="176" spans="1:18" ht="24.75" customHeight="1">
      <c r="A176" s="165"/>
      <c r="B176" s="206" t="s">
        <v>284</v>
      </c>
      <c r="C176" s="201"/>
      <c r="D176" s="139">
        <v>0.6</v>
      </c>
      <c r="E176" s="139"/>
      <c r="F176" s="139">
        <v>0.3</v>
      </c>
      <c r="G176" s="153">
        <f t="shared" si="2"/>
        <v>0.3</v>
      </c>
      <c r="H176" s="152"/>
      <c r="R176" s="133"/>
    </row>
    <row r="177" spans="1:18" ht="24.75" customHeight="1">
      <c r="A177" s="165"/>
      <c r="B177" s="206" t="s">
        <v>226</v>
      </c>
      <c r="C177" s="201"/>
      <c r="D177" s="139"/>
      <c r="E177" s="139">
        <v>60.4</v>
      </c>
      <c r="F177" s="139"/>
      <c r="G177" s="153">
        <f t="shared" si="2"/>
        <v>-60.4</v>
      </c>
      <c r="H177" s="152">
        <f t="shared" si="3"/>
        <v>0</v>
      </c>
      <c r="R177" s="133"/>
    </row>
    <row r="178" spans="1:18" ht="24.75" customHeight="1">
      <c r="A178" s="165"/>
      <c r="B178" s="206" t="s">
        <v>204</v>
      </c>
      <c r="C178" s="201"/>
      <c r="D178" s="139">
        <v>0.5</v>
      </c>
      <c r="E178" s="139"/>
      <c r="F178" s="139"/>
      <c r="G178" s="152">
        <f t="shared" si="2"/>
        <v>0</v>
      </c>
      <c r="H178" s="152"/>
      <c r="R178" s="133"/>
    </row>
    <row r="179" spans="1:18" ht="24.75" customHeight="1">
      <c r="A179" s="165" t="s">
        <v>230</v>
      </c>
      <c r="B179" s="207" t="s">
        <v>227</v>
      </c>
      <c r="C179" s="159"/>
      <c r="D179" s="140">
        <f>SUM(D181,D193,D204)</f>
        <v>12722.000000000002</v>
      </c>
      <c r="E179" s="140">
        <f>E181+E193+E204</f>
        <v>0</v>
      </c>
      <c r="F179" s="140">
        <f>F181+F193+F204</f>
        <v>0</v>
      </c>
      <c r="G179" s="152">
        <f t="shared" si="2"/>
        <v>0</v>
      </c>
      <c r="H179" s="152"/>
      <c r="R179" s="133"/>
    </row>
    <row r="180" spans="1:18" ht="24.75" customHeight="1">
      <c r="A180" s="162"/>
      <c r="B180" s="160" t="s">
        <v>82</v>
      </c>
      <c r="C180" s="161"/>
      <c r="D180" s="139"/>
      <c r="E180" s="139"/>
      <c r="F180" s="139"/>
      <c r="G180" s="152">
        <f t="shared" si="2"/>
        <v>0</v>
      </c>
      <c r="H180" s="152"/>
      <c r="R180" s="133"/>
    </row>
    <row r="181" spans="1:18" ht="24.75" customHeight="1">
      <c r="A181" s="162" t="s">
        <v>231</v>
      </c>
      <c r="B181" s="174" t="s">
        <v>86</v>
      </c>
      <c r="C181" s="164">
        <v>1010</v>
      </c>
      <c r="D181" s="141">
        <f>D182+D187+D188+D189</f>
        <v>11273.000000000002</v>
      </c>
      <c r="E181" s="141"/>
      <c r="F181" s="141"/>
      <c r="G181" s="152">
        <f t="shared" si="2"/>
        <v>0</v>
      </c>
      <c r="H181" s="152"/>
      <c r="R181" s="133"/>
    </row>
    <row r="182" spans="1:18" ht="24.75" customHeight="1">
      <c r="A182" s="165" t="s">
        <v>456</v>
      </c>
      <c r="B182" s="166" t="s">
        <v>109</v>
      </c>
      <c r="C182" s="167">
        <v>1011</v>
      </c>
      <c r="D182" s="140">
        <f>D183+D184+D185+D186</f>
        <v>791</v>
      </c>
      <c r="E182" s="139"/>
      <c r="F182" s="139"/>
      <c r="G182" s="152">
        <f t="shared" si="2"/>
        <v>0</v>
      </c>
      <c r="H182" s="152"/>
      <c r="R182" s="133"/>
    </row>
    <row r="183" spans="1:18" ht="24.75" customHeight="1">
      <c r="A183" s="168"/>
      <c r="B183" s="169" t="s">
        <v>147</v>
      </c>
      <c r="C183" s="170"/>
      <c r="D183" s="139">
        <v>678.6</v>
      </c>
      <c r="E183" s="139"/>
      <c r="F183" s="139"/>
      <c r="G183" s="152">
        <f t="shared" si="2"/>
        <v>0</v>
      </c>
      <c r="H183" s="152"/>
      <c r="R183" s="133"/>
    </row>
    <row r="184" spans="1:18" ht="24.75" customHeight="1">
      <c r="A184" s="168"/>
      <c r="B184" s="169" t="s">
        <v>148</v>
      </c>
      <c r="C184" s="170"/>
      <c r="D184" s="139">
        <v>95.6</v>
      </c>
      <c r="E184" s="139"/>
      <c r="F184" s="139"/>
      <c r="G184" s="152">
        <f t="shared" si="2"/>
        <v>0</v>
      </c>
      <c r="H184" s="152"/>
      <c r="R184" s="133"/>
    </row>
    <row r="185" spans="1:18" ht="24.75" customHeight="1">
      <c r="A185" s="162"/>
      <c r="B185" s="182" t="s">
        <v>178</v>
      </c>
      <c r="C185" s="208"/>
      <c r="D185" s="208">
        <v>15.4</v>
      </c>
      <c r="E185" s="139"/>
      <c r="F185" s="139"/>
      <c r="G185" s="152">
        <f t="shared" si="2"/>
        <v>0</v>
      </c>
      <c r="H185" s="152"/>
      <c r="R185" s="133"/>
    </row>
    <row r="186" spans="1:18" ht="24.75" customHeight="1">
      <c r="A186" s="162"/>
      <c r="B186" s="182" t="s">
        <v>275</v>
      </c>
      <c r="C186" s="208"/>
      <c r="D186" s="208">
        <v>1.4</v>
      </c>
      <c r="E186" s="139"/>
      <c r="F186" s="139"/>
      <c r="G186" s="152">
        <f t="shared" si="2"/>
        <v>0</v>
      </c>
      <c r="H186" s="152"/>
      <c r="R186" s="133"/>
    </row>
    <row r="187" spans="1:18" ht="24.75" customHeight="1">
      <c r="A187" s="195" t="s">
        <v>232</v>
      </c>
      <c r="B187" s="186" t="s">
        <v>2</v>
      </c>
      <c r="C187" s="171">
        <v>1012</v>
      </c>
      <c r="D187" s="140">
        <v>8554.1</v>
      </c>
      <c r="E187" s="139"/>
      <c r="F187" s="139"/>
      <c r="G187" s="152">
        <f t="shared" si="2"/>
        <v>0</v>
      </c>
      <c r="H187" s="152"/>
      <c r="R187" s="133"/>
    </row>
    <row r="188" spans="1:18" ht="24.75" customHeight="1">
      <c r="A188" s="195" t="s">
        <v>233</v>
      </c>
      <c r="B188" s="186" t="s">
        <v>3</v>
      </c>
      <c r="C188" s="171">
        <v>1013</v>
      </c>
      <c r="D188" s="140">
        <v>1833.2</v>
      </c>
      <c r="E188" s="139"/>
      <c r="F188" s="139"/>
      <c r="G188" s="152">
        <f t="shared" si="2"/>
        <v>0</v>
      </c>
      <c r="H188" s="152"/>
      <c r="R188" s="133"/>
    </row>
    <row r="189" spans="1:18" ht="24.75" customHeight="1">
      <c r="A189" s="165" t="s">
        <v>457</v>
      </c>
      <c r="B189" s="194" t="s">
        <v>220</v>
      </c>
      <c r="C189" s="171">
        <v>1015</v>
      </c>
      <c r="D189" s="140">
        <f>D190+D191+D192</f>
        <v>94.7</v>
      </c>
      <c r="E189" s="139"/>
      <c r="F189" s="139"/>
      <c r="G189" s="152">
        <f t="shared" si="2"/>
        <v>0</v>
      </c>
      <c r="H189" s="152"/>
      <c r="R189" s="133"/>
    </row>
    <row r="190" spans="1:18" ht="24.75" customHeight="1">
      <c r="A190" s="208"/>
      <c r="B190" s="172" t="s">
        <v>162</v>
      </c>
      <c r="C190" s="208"/>
      <c r="D190" s="208">
        <v>31.6</v>
      </c>
      <c r="E190" s="139"/>
      <c r="F190" s="139"/>
      <c r="G190" s="152">
        <f t="shared" si="2"/>
        <v>0</v>
      </c>
      <c r="H190" s="152"/>
      <c r="R190" s="133"/>
    </row>
    <row r="191" spans="1:18" ht="24.75" customHeight="1">
      <c r="A191" s="208"/>
      <c r="B191" s="172" t="s">
        <v>164</v>
      </c>
      <c r="C191" s="208"/>
      <c r="D191" s="208">
        <v>13.6</v>
      </c>
      <c r="E191" s="139"/>
      <c r="F191" s="139"/>
      <c r="G191" s="152">
        <f t="shared" si="2"/>
        <v>0</v>
      </c>
      <c r="H191" s="152"/>
      <c r="R191" s="133"/>
    </row>
    <row r="192" spans="1:18" ht="24.75" customHeight="1">
      <c r="A192" s="208"/>
      <c r="B192" s="182" t="s">
        <v>276</v>
      </c>
      <c r="C192" s="208"/>
      <c r="D192" s="208">
        <v>49.5</v>
      </c>
      <c r="E192" s="139"/>
      <c r="F192" s="139"/>
      <c r="G192" s="152">
        <f t="shared" si="2"/>
        <v>0</v>
      </c>
      <c r="H192" s="152"/>
      <c r="R192" s="133"/>
    </row>
    <row r="193" spans="1:18" ht="24.75" customHeight="1">
      <c r="A193" s="162" t="s">
        <v>458</v>
      </c>
      <c r="B193" s="174" t="s">
        <v>88</v>
      </c>
      <c r="C193" s="164">
        <v>1020</v>
      </c>
      <c r="D193" s="141">
        <f>D194+D198+D199+D200</f>
        <v>1238.5999999999999</v>
      </c>
      <c r="E193" s="141"/>
      <c r="F193" s="141"/>
      <c r="G193" s="152">
        <f t="shared" si="2"/>
        <v>0</v>
      </c>
      <c r="H193" s="152"/>
      <c r="R193" s="133"/>
    </row>
    <row r="194" spans="1:18" ht="24.75" customHeight="1">
      <c r="A194" s="165" t="s">
        <v>459</v>
      </c>
      <c r="B194" s="180" t="s">
        <v>109</v>
      </c>
      <c r="C194" s="167">
        <v>1021</v>
      </c>
      <c r="D194" s="140">
        <f>D195+D196+D197</f>
        <v>37.799999999999997</v>
      </c>
      <c r="E194" s="139"/>
      <c r="F194" s="139"/>
      <c r="G194" s="152">
        <f t="shared" si="2"/>
        <v>0</v>
      </c>
      <c r="H194" s="152"/>
      <c r="R194" s="133"/>
    </row>
    <row r="195" spans="1:18" ht="24.75" customHeight="1">
      <c r="A195" s="162"/>
      <c r="B195" s="199" t="s">
        <v>207</v>
      </c>
      <c r="C195" s="161"/>
      <c r="D195" s="139">
        <v>28.5</v>
      </c>
      <c r="E195" s="139"/>
      <c r="F195" s="139"/>
      <c r="G195" s="152">
        <f t="shared" si="2"/>
        <v>0</v>
      </c>
      <c r="H195" s="152"/>
      <c r="R195" s="133"/>
    </row>
    <row r="196" spans="1:18" ht="24.75" customHeight="1">
      <c r="A196" s="162"/>
      <c r="B196" s="169" t="s">
        <v>178</v>
      </c>
      <c r="C196" s="161"/>
      <c r="D196" s="139"/>
      <c r="E196" s="139"/>
      <c r="F196" s="139"/>
      <c r="G196" s="152">
        <f t="shared" si="2"/>
        <v>0</v>
      </c>
      <c r="H196" s="152"/>
      <c r="R196" s="133"/>
    </row>
    <row r="197" spans="1:18" ht="50.25" customHeight="1">
      <c r="A197" s="162"/>
      <c r="B197" s="169" t="s">
        <v>177</v>
      </c>
      <c r="C197" s="161"/>
      <c r="D197" s="139">
        <v>9.3000000000000007</v>
      </c>
      <c r="E197" s="139"/>
      <c r="F197" s="139"/>
      <c r="G197" s="152">
        <f t="shared" si="2"/>
        <v>0</v>
      </c>
      <c r="H197" s="152"/>
      <c r="R197" s="133"/>
    </row>
    <row r="198" spans="1:18" ht="24.75" customHeight="1">
      <c r="A198" s="165" t="s">
        <v>460</v>
      </c>
      <c r="B198" s="166" t="s">
        <v>2</v>
      </c>
      <c r="C198" s="171">
        <v>1022</v>
      </c>
      <c r="D198" s="140">
        <v>963.3</v>
      </c>
      <c r="E198" s="139"/>
      <c r="F198" s="139"/>
      <c r="G198" s="152">
        <f t="shared" si="2"/>
        <v>0</v>
      </c>
      <c r="H198" s="152"/>
      <c r="R198" s="133"/>
    </row>
    <row r="199" spans="1:18" ht="24.75" customHeight="1">
      <c r="A199" s="165" t="s">
        <v>461</v>
      </c>
      <c r="B199" s="166" t="s">
        <v>3</v>
      </c>
      <c r="C199" s="171">
        <v>1023</v>
      </c>
      <c r="D199" s="140">
        <v>225.8</v>
      </c>
      <c r="E199" s="139"/>
      <c r="F199" s="139"/>
      <c r="G199" s="152">
        <f t="shared" si="2"/>
        <v>0</v>
      </c>
      <c r="H199" s="152"/>
      <c r="R199" s="133"/>
    </row>
    <row r="200" spans="1:18" ht="24.75" customHeight="1">
      <c r="A200" s="165" t="s">
        <v>462</v>
      </c>
      <c r="B200" s="191" t="s">
        <v>199</v>
      </c>
      <c r="C200" s="167">
        <v>1025</v>
      </c>
      <c r="D200" s="140">
        <f>D201+D202+D203</f>
        <v>11.700000000000001</v>
      </c>
      <c r="E200" s="139"/>
      <c r="F200" s="139"/>
      <c r="G200" s="152">
        <f t="shared" si="2"/>
        <v>0</v>
      </c>
      <c r="H200" s="152"/>
      <c r="R200" s="133"/>
    </row>
    <row r="201" spans="1:18" ht="24.75" customHeight="1">
      <c r="A201" s="165"/>
      <c r="B201" s="185" t="s">
        <v>165</v>
      </c>
      <c r="C201" s="167"/>
      <c r="D201" s="139">
        <v>5.4</v>
      </c>
      <c r="E201" s="139"/>
      <c r="F201" s="139"/>
      <c r="G201" s="152">
        <f t="shared" si="2"/>
        <v>0</v>
      </c>
      <c r="H201" s="152"/>
      <c r="R201" s="133"/>
    </row>
    <row r="202" spans="1:18" ht="24.75" customHeight="1">
      <c r="A202" s="162"/>
      <c r="B202" s="169" t="s">
        <v>171</v>
      </c>
      <c r="C202" s="161"/>
      <c r="D202" s="139">
        <v>0.9</v>
      </c>
      <c r="E202" s="139"/>
      <c r="F202" s="139"/>
      <c r="G202" s="152">
        <f t="shared" si="2"/>
        <v>0</v>
      </c>
      <c r="H202" s="152"/>
      <c r="R202" s="133"/>
    </row>
    <row r="203" spans="1:18" ht="42.75" customHeight="1">
      <c r="A203" s="162"/>
      <c r="B203" s="169" t="s">
        <v>170</v>
      </c>
      <c r="C203" s="161"/>
      <c r="D203" s="139">
        <v>5.4</v>
      </c>
      <c r="E203" s="139"/>
      <c r="F203" s="139"/>
      <c r="G203" s="152">
        <f t="shared" si="2"/>
        <v>0</v>
      </c>
      <c r="H203" s="152"/>
      <c r="R203" s="133"/>
    </row>
    <row r="204" spans="1:18" ht="24.75" customHeight="1">
      <c r="A204" s="162" t="s">
        <v>463</v>
      </c>
      <c r="B204" s="174" t="s">
        <v>89</v>
      </c>
      <c r="C204" s="164">
        <v>1030</v>
      </c>
      <c r="D204" s="141">
        <f>SUM(D208:D210,D205)</f>
        <v>210.39999999999998</v>
      </c>
      <c r="E204" s="141"/>
      <c r="F204" s="141"/>
      <c r="G204" s="152">
        <f t="shared" si="2"/>
        <v>0</v>
      </c>
      <c r="H204" s="152"/>
      <c r="R204" s="133"/>
    </row>
    <row r="205" spans="1:18" ht="24.75" customHeight="1">
      <c r="A205" s="165" t="s">
        <v>464</v>
      </c>
      <c r="B205" s="180" t="s">
        <v>109</v>
      </c>
      <c r="C205" s="167">
        <v>1031</v>
      </c>
      <c r="D205" s="140">
        <f>D206+D207</f>
        <v>93.3</v>
      </c>
      <c r="E205" s="139"/>
      <c r="F205" s="139"/>
      <c r="G205" s="152">
        <f t="shared" si="2"/>
        <v>0</v>
      </c>
      <c r="H205" s="152"/>
      <c r="R205" s="133"/>
    </row>
    <row r="206" spans="1:18" ht="24.75" customHeight="1">
      <c r="A206" s="165"/>
      <c r="B206" s="135" t="s">
        <v>149</v>
      </c>
      <c r="C206" s="167"/>
      <c r="D206" s="139">
        <v>73.599999999999994</v>
      </c>
      <c r="E206" s="139"/>
      <c r="F206" s="139"/>
      <c r="G206" s="152">
        <f t="shared" si="2"/>
        <v>0</v>
      </c>
      <c r="H206" s="152"/>
      <c r="R206" s="133"/>
    </row>
    <row r="207" spans="1:18" ht="24.75" customHeight="1">
      <c r="A207" s="165"/>
      <c r="B207" s="135" t="s">
        <v>207</v>
      </c>
      <c r="C207" s="167"/>
      <c r="D207" s="139">
        <v>19.7</v>
      </c>
      <c r="E207" s="139"/>
      <c r="F207" s="139"/>
      <c r="G207" s="152">
        <f t="shared" si="2"/>
        <v>0</v>
      </c>
      <c r="H207" s="152"/>
      <c r="R207" s="133"/>
    </row>
    <row r="208" spans="1:18" ht="24.75" customHeight="1">
      <c r="A208" s="165" t="s">
        <v>465</v>
      </c>
      <c r="B208" s="166" t="s">
        <v>2</v>
      </c>
      <c r="C208" s="171">
        <v>1032</v>
      </c>
      <c r="D208" s="140">
        <v>82.5</v>
      </c>
      <c r="E208" s="139"/>
      <c r="F208" s="139"/>
      <c r="G208" s="152">
        <f t="shared" si="2"/>
        <v>0</v>
      </c>
      <c r="H208" s="152"/>
      <c r="R208" s="133"/>
    </row>
    <row r="209" spans="1:18" ht="24.75" customHeight="1">
      <c r="A209" s="165" t="s">
        <v>466</v>
      </c>
      <c r="B209" s="166" t="s">
        <v>3</v>
      </c>
      <c r="C209" s="171">
        <v>1033</v>
      </c>
      <c r="D209" s="140">
        <v>15</v>
      </c>
      <c r="E209" s="139"/>
      <c r="F209" s="139"/>
      <c r="G209" s="152">
        <f t="shared" si="2"/>
        <v>0</v>
      </c>
      <c r="H209" s="152"/>
      <c r="R209" s="133"/>
    </row>
    <row r="210" spans="1:18" ht="24.75" customHeight="1">
      <c r="A210" s="165" t="s">
        <v>467</v>
      </c>
      <c r="B210" s="194" t="s">
        <v>89</v>
      </c>
      <c r="C210" s="171">
        <v>1035</v>
      </c>
      <c r="D210" s="140">
        <f>D211</f>
        <v>19.600000000000001</v>
      </c>
      <c r="E210" s="139"/>
      <c r="F210" s="139"/>
      <c r="G210" s="152">
        <f t="shared" si="2"/>
        <v>0</v>
      </c>
      <c r="H210" s="152"/>
      <c r="R210" s="133"/>
    </row>
    <row r="211" spans="1:18" ht="24.75" customHeight="1">
      <c r="A211" s="165"/>
      <c r="B211" s="135" t="s">
        <v>175</v>
      </c>
      <c r="C211" s="170"/>
      <c r="D211" s="139">
        <v>19.600000000000001</v>
      </c>
      <c r="E211" s="139"/>
      <c r="F211" s="139"/>
      <c r="G211" s="152">
        <f t="shared" si="2"/>
        <v>0</v>
      </c>
      <c r="H211" s="152"/>
      <c r="R211" s="133"/>
    </row>
    <row r="212" spans="1:18" ht="45.75" customHeight="1">
      <c r="A212" s="165" t="s">
        <v>234</v>
      </c>
      <c r="B212" s="209" t="s">
        <v>229</v>
      </c>
      <c r="C212" s="159"/>
      <c r="D212" s="140">
        <f>D214</f>
        <v>0</v>
      </c>
      <c r="E212" s="140">
        <f>E214</f>
        <v>0</v>
      </c>
      <c r="F212" s="140">
        <f>F214</f>
        <v>131.5</v>
      </c>
      <c r="G212" s="128">
        <f t="shared" si="2"/>
        <v>131.5</v>
      </c>
      <c r="H212" s="128"/>
      <c r="R212" s="133"/>
    </row>
    <row r="213" spans="1:18" ht="24.75" customHeight="1">
      <c r="A213" s="162"/>
      <c r="B213" s="160" t="s">
        <v>82</v>
      </c>
      <c r="C213" s="161"/>
      <c r="D213" s="139"/>
      <c r="E213" s="139"/>
      <c r="F213" s="139"/>
      <c r="G213" s="152">
        <f t="shared" si="2"/>
        <v>0</v>
      </c>
      <c r="H213" s="152"/>
      <c r="R213" s="133"/>
    </row>
    <row r="214" spans="1:18" ht="24.75" customHeight="1">
      <c r="A214" s="162" t="s">
        <v>236</v>
      </c>
      <c r="B214" s="174" t="s">
        <v>86</v>
      </c>
      <c r="C214" s="164">
        <v>1010</v>
      </c>
      <c r="D214" s="141"/>
      <c r="E214" s="141"/>
      <c r="F214" s="141">
        <f>F215</f>
        <v>131.5</v>
      </c>
      <c r="G214" s="152">
        <f t="shared" si="2"/>
        <v>131.5</v>
      </c>
      <c r="H214" s="152"/>
      <c r="R214" s="133"/>
    </row>
    <row r="215" spans="1:18" ht="24.75" customHeight="1">
      <c r="A215" s="165" t="s">
        <v>237</v>
      </c>
      <c r="B215" s="180" t="s">
        <v>109</v>
      </c>
      <c r="C215" s="167">
        <v>1011</v>
      </c>
      <c r="D215" s="140"/>
      <c r="E215" s="140"/>
      <c r="F215" s="140">
        <f>SUM(F216:F219)</f>
        <v>131.5</v>
      </c>
      <c r="G215" s="128">
        <f t="shared" si="2"/>
        <v>131.5</v>
      </c>
      <c r="H215" s="128"/>
      <c r="R215" s="133"/>
    </row>
    <row r="216" spans="1:18" ht="24.75" customHeight="1">
      <c r="A216" s="58"/>
      <c r="B216" s="62" t="s">
        <v>147</v>
      </c>
      <c r="C216" s="61"/>
      <c r="D216" s="28"/>
      <c r="E216" s="28"/>
      <c r="F216" s="28">
        <v>87.1</v>
      </c>
      <c r="G216" s="63">
        <f t="shared" si="2"/>
        <v>87.1</v>
      </c>
      <c r="H216" s="127"/>
      <c r="R216" s="133"/>
    </row>
    <row r="217" spans="1:18" ht="24.75" customHeight="1">
      <c r="A217" s="162"/>
      <c r="B217" s="160" t="s">
        <v>148</v>
      </c>
      <c r="C217" s="161"/>
      <c r="D217" s="139"/>
      <c r="E217" s="139"/>
      <c r="F217" s="139">
        <v>20.5</v>
      </c>
      <c r="G217" s="153">
        <f t="shared" si="2"/>
        <v>20.5</v>
      </c>
      <c r="H217" s="152"/>
      <c r="R217" s="133"/>
    </row>
    <row r="218" spans="1:18" ht="24.75" customHeight="1">
      <c r="A218" s="162"/>
      <c r="B218" s="160" t="s">
        <v>207</v>
      </c>
      <c r="C218" s="161"/>
      <c r="D218" s="139"/>
      <c r="E218" s="139"/>
      <c r="F218" s="139">
        <v>13</v>
      </c>
      <c r="G218" s="153">
        <f t="shared" si="2"/>
        <v>13</v>
      </c>
      <c r="H218" s="152"/>
      <c r="R218" s="133"/>
    </row>
    <row r="219" spans="1:18" ht="42" customHeight="1">
      <c r="A219" s="162"/>
      <c r="B219" s="199" t="s">
        <v>177</v>
      </c>
      <c r="C219" s="161"/>
      <c r="D219" s="139"/>
      <c r="E219" s="139"/>
      <c r="F219" s="139">
        <v>10.9</v>
      </c>
      <c r="G219" s="153">
        <f t="shared" ref="G219:G286" si="34">F219-E219</f>
        <v>10.9</v>
      </c>
      <c r="H219" s="152"/>
      <c r="R219" s="133"/>
    </row>
    <row r="220" spans="1:18" ht="41.25" customHeight="1">
      <c r="A220" s="165" t="s">
        <v>455</v>
      </c>
      <c r="B220" s="207" t="s">
        <v>373</v>
      </c>
      <c r="C220" s="171"/>
      <c r="D220" s="140"/>
      <c r="E220" s="140">
        <f>E222</f>
        <v>35.799999999999997</v>
      </c>
      <c r="F220" s="140">
        <f>F222</f>
        <v>29.799999999999997</v>
      </c>
      <c r="G220" s="128">
        <f t="shared" si="34"/>
        <v>-6</v>
      </c>
      <c r="H220" s="128">
        <f t="shared" ref="H220:H285" si="35">(F220/E220)*100</f>
        <v>83.240223463687144</v>
      </c>
      <c r="R220" s="133"/>
    </row>
    <row r="221" spans="1:18" ht="24.75" customHeight="1">
      <c r="A221" s="210"/>
      <c r="B221" s="160" t="s">
        <v>82</v>
      </c>
      <c r="C221" s="211"/>
      <c r="D221" s="139"/>
      <c r="E221" s="139"/>
      <c r="F221" s="139"/>
      <c r="G221" s="152"/>
      <c r="H221" s="152"/>
      <c r="R221" s="133"/>
    </row>
    <row r="222" spans="1:18" ht="24.75" customHeight="1">
      <c r="A222" s="176" t="s">
        <v>468</v>
      </c>
      <c r="B222" s="212" t="s">
        <v>86</v>
      </c>
      <c r="C222" s="178">
        <v>1010</v>
      </c>
      <c r="D222" s="141"/>
      <c r="E222" s="141">
        <f>E223+E224</f>
        <v>35.799999999999997</v>
      </c>
      <c r="F222" s="141">
        <f>F223+F224</f>
        <v>29.799999999999997</v>
      </c>
      <c r="G222" s="152">
        <f t="shared" si="34"/>
        <v>-6</v>
      </c>
      <c r="H222" s="152">
        <f t="shared" si="35"/>
        <v>83.240223463687144</v>
      </c>
      <c r="R222" s="133"/>
    </row>
    <row r="223" spans="1:18" ht="24.75" customHeight="1">
      <c r="A223" s="165" t="s">
        <v>469</v>
      </c>
      <c r="B223" s="186" t="s">
        <v>2</v>
      </c>
      <c r="C223" s="171">
        <v>1012</v>
      </c>
      <c r="D223" s="140"/>
      <c r="E223" s="140">
        <v>29.3</v>
      </c>
      <c r="F223" s="140">
        <v>24.4</v>
      </c>
      <c r="G223" s="128">
        <f t="shared" si="34"/>
        <v>-4.9000000000000021</v>
      </c>
      <c r="H223" s="128">
        <f t="shared" si="35"/>
        <v>83.276450511945384</v>
      </c>
      <c r="R223" s="133"/>
    </row>
    <row r="224" spans="1:18" ht="24.75" customHeight="1">
      <c r="A224" s="165" t="s">
        <v>470</v>
      </c>
      <c r="B224" s="186" t="s">
        <v>3</v>
      </c>
      <c r="C224" s="171">
        <v>1013</v>
      </c>
      <c r="D224" s="140"/>
      <c r="E224" s="140">
        <v>6.5</v>
      </c>
      <c r="F224" s="140">
        <v>5.4</v>
      </c>
      <c r="G224" s="128">
        <f t="shared" si="34"/>
        <v>-1.0999999999999996</v>
      </c>
      <c r="H224" s="128">
        <f t="shared" si="35"/>
        <v>83.07692307692308</v>
      </c>
      <c r="R224" s="133"/>
    </row>
    <row r="225" spans="1:18" ht="24.75" customHeight="1">
      <c r="A225" s="165" t="s">
        <v>382</v>
      </c>
      <c r="B225" s="166" t="s">
        <v>235</v>
      </c>
      <c r="C225" s="167"/>
      <c r="D225" s="140">
        <f>SUM(D227,D246,D252)</f>
        <v>5399.0000000000009</v>
      </c>
      <c r="E225" s="140">
        <f t="shared" ref="E225:F225" si="36">SUM(E227,E246,E252)</f>
        <v>8314.3000000000011</v>
      </c>
      <c r="F225" s="140">
        <f t="shared" si="36"/>
        <v>8314.2999999999993</v>
      </c>
      <c r="G225" s="128">
        <f t="shared" si="34"/>
        <v>0</v>
      </c>
      <c r="H225" s="128">
        <f t="shared" si="35"/>
        <v>99.999999999999972</v>
      </c>
      <c r="R225" s="133"/>
    </row>
    <row r="226" spans="1:18" ht="24.75" customHeight="1">
      <c r="A226" s="165"/>
      <c r="B226" s="213" t="s">
        <v>82</v>
      </c>
      <c r="C226" s="136"/>
      <c r="D226" s="139"/>
      <c r="E226" s="139"/>
      <c r="F226" s="139"/>
      <c r="G226" s="152"/>
      <c r="H226" s="152"/>
      <c r="R226" s="133"/>
    </row>
    <row r="227" spans="1:18" ht="34.5" customHeight="1">
      <c r="A227" s="176" t="s">
        <v>471</v>
      </c>
      <c r="B227" s="177" t="s">
        <v>86</v>
      </c>
      <c r="C227" s="193">
        <v>1010</v>
      </c>
      <c r="D227" s="141">
        <f>D228+D236+D237+D238</f>
        <v>5296.2000000000007</v>
      </c>
      <c r="E227" s="141">
        <f>E228+E236+E237+E238</f>
        <v>8267.9000000000015</v>
      </c>
      <c r="F227" s="141">
        <f>F228+F236+F237+F238</f>
        <v>8314.2999999999993</v>
      </c>
      <c r="G227" s="152">
        <f t="shared" si="34"/>
        <v>46.399999999997817</v>
      </c>
      <c r="H227" s="152">
        <f t="shared" si="35"/>
        <v>100.56120659417746</v>
      </c>
      <c r="R227" s="133"/>
    </row>
    <row r="228" spans="1:18" ht="24.75" customHeight="1">
      <c r="A228" s="165" t="s">
        <v>472</v>
      </c>
      <c r="B228" s="180" t="s">
        <v>109</v>
      </c>
      <c r="C228" s="167">
        <v>1011</v>
      </c>
      <c r="D228" s="140">
        <f>SUM(D229:D235)</f>
        <v>1619.8</v>
      </c>
      <c r="E228" s="140">
        <f>SUM(E229:E233)</f>
        <v>3233.2</v>
      </c>
      <c r="F228" s="140">
        <f>SUM(F229:F235)</f>
        <v>3234.3999999999996</v>
      </c>
      <c r="G228" s="128">
        <f t="shared" si="34"/>
        <v>1.1999999999998181</v>
      </c>
      <c r="H228" s="128">
        <f t="shared" si="35"/>
        <v>100.03711493257454</v>
      </c>
      <c r="R228" s="133"/>
    </row>
    <row r="229" spans="1:18" ht="40.5" customHeight="1">
      <c r="A229" s="168"/>
      <c r="B229" s="169" t="s">
        <v>238</v>
      </c>
      <c r="C229" s="136"/>
      <c r="D229" s="139">
        <v>109.7</v>
      </c>
      <c r="E229" s="139">
        <v>405.1</v>
      </c>
      <c r="F229" s="139">
        <v>123.7</v>
      </c>
      <c r="G229" s="153">
        <f t="shared" si="34"/>
        <v>-281.40000000000003</v>
      </c>
      <c r="H229" s="153">
        <f t="shared" si="35"/>
        <v>30.535670204887683</v>
      </c>
      <c r="R229" s="133"/>
    </row>
    <row r="230" spans="1:18" ht="24.75" customHeight="1">
      <c r="A230" s="168"/>
      <c r="B230" s="169" t="s">
        <v>239</v>
      </c>
      <c r="C230" s="136"/>
      <c r="D230" s="139">
        <v>1021</v>
      </c>
      <c r="E230" s="139">
        <v>1922.4</v>
      </c>
      <c r="F230" s="139">
        <f>2390.2-841.9</f>
        <v>1548.2999999999997</v>
      </c>
      <c r="G230" s="153">
        <f t="shared" si="34"/>
        <v>-374.10000000000036</v>
      </c>
      <c r="H230" s="153">
        <f t="shared" si="35"/>
        <v>80.539950062421951</v>
      </c>
      <c r="R230" s="133"/>
    </row>
    <row r="231" spans="1:18" ht="24.75" customHeight="1">
      <c r="A231" s="168"/>
      <c r="B231" s="169" t="s">
        <v>147</v>
      </c>
      <c r="C231" s="136"/>
      <c r="D231" s="139">
        <v>29.1</v>
      </c>
      <c r="E231" s="139"/>
      <c r="F231" s="139"/>
      <c r="G231" s="153">
        <f t="shared" si="34"/>
        <v>0</v>
      </c>
      <c r="H231" s="153"/>
      <c r="R231" s="133"/>
    </row>
    <row r="232" spans="1:18" ht="24.75" customHeight="1">
      <c r="A232" s="168"/>
      <c r="B232" s="169" t="s">
        <v>278</v>
      </c>
      <c r="C232" s="136"/>
      <c r="D232" s="139">
        <v>99.2</v>
      </c>
      <c r="E232" s="139"/>
      <c r="F232" s="139"/>
      <c r="G232" s="153">
        <f t="shared" si="34"/>
        <v>0</v>
      </c>
      <c r="H232" s="153"/>
      <c r="R232" s="133"/>
    </row>
    <row r="233" spans="1:18" ht="24.75" customHeight="1">
      <c r="A233" s="168"/>
      <c r="B233" s="169" t="s">
        <v>240</v>
      </c>
      <c r="C233" s="136"/>
      <c r="D233" s="139">
        <v>266.7</v>
      </c>
      <c r="E233" s="139">
        <v>905.7</v>
      </c>
      <c r="F233" s="139">
        <f>1665.7-103.3</f>
        <v>1562.4</v>
      </c>
      <c r="G233" s="153">
        <f t="shared" si="34"/>
        <v>656.7</v>
      </c>
      <c r="H233" s="153">
        <f t="shared" si="35"/>
        <v>172.50745279894005</v>
      </c>
      <c r="R233" s="133"/>
    </row>
    <row r="234" spans="1:18" ht="24.75" customHeight="1">
      <c r="A234" s="168"/>
      <c r="B234" s="169" t="s">
        <v>280</v>
      </c>
      <c r="C234" s="136"/>
      <c r="D234" s="139">
        <v>50.5</v>
      </c>
      <c r="E234" s="139"/>
      <c r="F234" s="139"/>
      <c r="G234" s="153">
        <f t="shared" si="34"/>
        <v>0</v>
      </c>
      <c r="H234" s="153"/>
      <c r="R234" s="133"/>
    </row>
    <row r="235" spans="1:18" ht="24.75" customHeight="1">
      <c r="A235" s="168"/>
      <c r="B235" s="169" t="s">
        <v>148</v>
      </c>
      <c r="C235" s="136"/>
      <c r="D235" s="139">
        <v>43.6</v>
      </c>
      <c r="E235" s="139"/>
      <c r="F235" s="139"/>
      <c r="G235" s="153">
        <f t="shared" si="34"/>
        <v>0</v>
      </c>
      <c r="H235" s="153"/>
      <c r="R235" s="133"/>
    </row>
    <row r="236" spans="1:18" ht="24.75" customHeight="1">
      <c r="A236" s="165" t="s">
        <v>473</v>
      </c>
      <c r="B236" s="166" t="s">
        <v>2</v>
      </c>
      <c r="C236" s="171">
        <v>1012</v>
      </c>
      <c r="D236" s="140">
        <v>1328.2</v>
      </c>
      <c r="E236" s="140">
        <v>1989.3</v>
      </c>
      <c r="F236" s="140">
        <v>1989.3</v>
      </c>
      <c r="G236" s="128">
        <f t="shared" si="34"/>
        <v>0</v>
      </c>
      <c r="H236" s="128">
        <f t="shared" si="35"/>
        <v>100</v>
      </c>
      <c r="R236" s="133"/>
    </row>
    <row r="237" spans="1:18" ht="24.75" customHeight="1">
      <c r="A237" s="165" t="s">
        <v>474</v>
      </c>
      <c r="B237" s="166" t="s">
        <v>3</v>
      </c>
      <c r="C237" s="171">
        <v>1013</v>
      </c>
      <c r="D237" s="140">
        <v>271.60000000000002</v>
      </c>
      <c r="E237" s="140">
        <v>412.1</v>
      </c>
      <c r="F237" s="140">
        <v>412.1</v>
      </c>
      <c r="G237" s="128">
        <f t="shared" si="34"/>
        <v>0</v>
      </c>
      <c r="H237" s="128">
        <f t="shared" si="35"/>
        <v>100</v>
      </c>
      <c r="R237" s="133"/>
    </row>
    <row r="238" spans="1:18" ht="24.75" customHeight="1">
      <c r="A238" s="165" t="s">
        <v>383</v>
      </c>
      <c r="B238" s="158" t="s">
        <v>94</v>
      </c>
      <c r="C238" s="157">
        <v>1015</v>
      </c>
      <c r="D238" s="140">
        <f>SUM(D239:D245)</f>
        <v>2076.6000000000004</v>
      </c>
      <c r="E238" s="140">
        <f t="shared" ref="E238" si="37">SUM(E239:E245)</f>
        <v>2633.3</v>
      </c>
      <c r="F238" s="140">
        <f>SUM(F239:F245)</f>
        <v>2678.5</v>
      </c>
      <c r="G238" s="128">
        <f t="shared" si="34"/>
        <v>45.199999999999818</v>
      </c>
      <c r="H238" s="128">
        <f t="shared" si="35"/>
        <v>101.71647742376486</v>
      </c>
      <c r="R238" s="133"/>
    </row>
    <row r="239" spans="1:18" ht="36" customHeight="1">
      <c r="A239" s="165"/>
      <c r="B239" s="172" t="s">
        <v>201</v>
      </c>
      <c r="C239" s="157"/>
      <c r="D239" s="139">
        <v>149.30000000000001</v>
      </c>
      <c r="E239" s="139"/>
      <c r="F239" s="139"/>
      <c r="G239" s="152">
        <f t="shared" si="34"/>
        <v>0</v>
      </c>
      <c r="H239" s="152"/>
      <c r="R239" s="133"/>
    </row>
    <row r="240" spans="1:18" ht="36" customHeight="1">
      <c r="A240" s="165"/>
      <c r="B240" s="169" t="s">
        <v>279</v>
      </c>
      <c r="C240" s="157"/>
      <c r="D240" s="139">
        <v>190</v>
      </c>
      <c r="E240" s="139"/>
      <c r="F240" s="139"/>
      <c r="G240" s="152">
        <f t="shared" si="34"/>
        <v>0</v>
      </c>
      <c r="H240" s="152"/>
      <c r="R240" s="133"/>
    </row>
    <row r="241" spans="1:18" ht="24.75" customHeight="1">
      <c r="A241" s="162"/>
      <c r="B241" s="172" t="s">
        <v>192</v>
      </c>
      <c r="C241" s="161"/>
      <c r="D241" s="139">
        <v>828.6</v>
      </c>
      <c r="E241" s="139">
        <v>1556.4</v>
      </c>
      <c r="F241" s="139">
        <f>1584.9-1.2</f>
        <v>1583.7</v>
      </c>
      <c r="G241" s="153">
        <f t="shared" si="34"/>
        <v>27.299999999999955</v>
      </c>
      <c r="H241" s="153">
        <f t="shared" si="35"/>
        <v>101.75404780262143</v>
      </c>
      <c r="R241" s="133"/>
    </row>
    <row r="242" spans="1:18" ht="24.75" customHeight="1">
      <c r="A242" s="162"/>
      <c r="B242" s="172" t="s">
        <v>193</v>
      </c>
      <c r="C242" s="161"/>
      <c r="D242" s="139">
        <v>138.4</v>
      </c>
      <c r="E242" s="139">
        <v>225.4</v>
      </c>
      <c r="F242" s="139">
        <v>229.6</v>
      </c>
      <c r="G242" s="153">
        <f t="shared" si="34"/>
        <v>4.1999999999999886</v>
      </c>
      <c r="H242" s="153">
        <f t="shared" si="35"/>
        <v>101.86335403726707</v>
      </c>
      <c r="R242" s="133"/>
    </row>
    <row r="243" spans="1:18" ht="24.75" customHeight="1">
      <c r="A243" s="162"/>
      <c r="B243" s="172" t="s">
        <v>241</v>
      </c>
      <c r="C243" s="161"/>
      <c r="D243" s="139">
        <v>412.1</v>
      </c>
      <c r="E243" s="139">
        <v>797.2</v>
      </c>
      <c r="F243" s="139">
        <v>809.9</v>
      </c>
      <c r="G243" s="153">
        <f t="shared" si="34"/>
        <v>12.699999999999932</v>
      </c>
      <c r="H243" s="153">
        <f t="shared" si="35"/>
        <v>101.59307576517811</v>
      </c>
      <c r="R243" s="133"/>
    </row>
    <row r="244" spans="1:18" ht="24.75" customHeight="1">
      <c r="A244" s="162"/>
      <c r="B244" s="172" t="s">
        <v>195</v>
      </c>
      <c r="C244" s="161"/>
      <c r="D244" s="139">
        <v>55.7</v>
      </c>
      <c r="E244" s="139">
        <v>54.3</v>
      </c>
      <c r="F244" s="139">
        <v>55.3</v>
      </c>
      <c r="G244" s="153">
        <f t="shared" si="34"/>
        <v>1</v>
      </c>
      <c r="H244" s="153">
        <f t="shared" si="35"/>
        <v>101.84162062615101</v>
      </c>
      <c r="R244" s="133"/>
    </row>
    <row r="245" spans="1:18" ht="24.75" customHeight="1">
      <c r="A245" s="162"/>
      <c r="B245" s="189" t="s">
        <v>243</v>
      </c>
      <c r="C245" s="161"/>
      <c r="D245" s="139">
        <v>302.5</v>
      </c>
      <c r="E245" s="139"/>
      <c r="F245" s="139"/>
      <c r="G245" s="153">
        <f t="shared" si="34"/>
        <v>0</v>
      </c>
      <c r="H245" s="153"/>
      <c r="R245" s="133"/>
    </row>
    <row r="246" spans="1:18" ht="24.75" customHeight="1">
      <c r="A246" s="176" t="s">
        <v>475</v>
      </c>
      <c r="B246" s="214" t="s">
        <v>88</v>
      </c>
      <c r="C246" s="193">
        <v>1020</v>
      </c>
      <c r="D246" s="141">
        <f>D247</f>
        <v>26.6</v>
      </c>
      <c r="E246" s="141">
        <f>E247</f>
        <v>46.4</v>
      </c>
      <c r="F246" s="141">
        <f>F247</f>
        <v>0</v>
      </c>
      <c r="G246" s="152">
        <f t="shared" si="34"/>
        <v>-46.4</v>
      </c>
      <c r="H246" s="152">
        <f t="shared" si="35"/>
        <v>0</v>
      </c>
      <c r="R246" s="133"/>
    </row>
    <row r="247" spans="1:18" ht="24.75" customHeight="1">
      <c r="A247" s="165" t="s">
        <v>476</v>
      </c>
      <c r="B247" s="191" t="s">
        <v>199</v>
      </c>
      <c r="C247" s="167">
        <v>1025</v>
      </c>
      <c r="D247" s="140">
        <f>SUM(D248:D251)</f>
        <v>26.6</v>
      </c>
      <c r="E247" s="140">
        <f t="shared" ref="E247" si="38">SUM(E248:E251)</f>
        <v>46.4</v>
      </c>
      <c r="F247" s="140">
        <f>SUM(F248:F251)</f>
        <v>0</v>
      </c>
      <c r="G247" s="128">
        <f t="shared" si="34"/>
        <v>-46.4</v>
      </c>
      <c r="H247" s="128">
        <f t="shared" si="35"/>
        <v>0</v>
      </c>
      <c r="R247" s="133"/>
    </row>
    <row r="248" spans="1:18" ht="24.75" customHeight="1">
      <c r="A248" s="162"/>
      <c r="B248" s="190" t="s">
        <v>192</v>
      </c>
      <c r="C248" s="161"/>
      <c r="D248" s="139">
        <v>16.100000000000001</v>
      </c>
      <c r="E248" s="139">
        <v>28.6</v>
      </c>
      <c r="F248" s="139"/>
      <c r="G248" s="153">
        <f t="shared" si="34"/>
        <v>-28.6</v>
      </c>
      <c r="H248" s="153">
        <f t="shared" si="35"/>
        <v>0</v>
      </c>
      <c r="R248" s="133"/>
    </row>
    <row r="249" spans="1:18" ht="24.75" customHeight="1">
      <c r="A249" s="162"/>
      <c r="B249" s="190" t="s">
        <v>193</v>
      </c>
      <c r="C249" s="161"/>
      <c r="D249" s="139">
        <v>2.6</v>
      </c>
      <c r="E249" s="139">
        <v>4.2</v>
      </c>
      <c r="F249" s="139"/>
      <c r="G249" s="153">
        <f t="shared" si="34"/>
        <v>-4.2</v>
      </c>
      <c r="H249" s="153">
        <f t="shared" si="35"/>
        <v>0</v>
      </c>
      <c r="R249" s="133"/>
    </row>
    <row r="250" spans="1:18" ht="24.75" customHeight="1">
      <c r="A250" s="162"/>
      <c r="B250" s="190" t="s">
        <v>194</v>
      </c>
      <c r="C250" s="161"/>
      <c r="D250" s="139">
        <v>7.9</v>
      </c>
      <c r="E250" s="139">
        <v>12.7</v>
      </c>
      <c r="F250" s="139"/>
      <c r="G250" s="153">
        <f t="shared" si="34"/>
        <v>-12.7</v>
      </c>
      <c r="H250" s="153">
        <f t="shared" si="35"/>
        <v>0</v>
      </c>
      <c r="R250" s="133"/>
    </row>
    <row r="251" spans="1:18" ht="24.75" customHeight="1">
      <c r="A251" s="162"/>
      <c r="B251" s="190" t="s">
        <v>242</v>
      </c>
      <c r="C251" s="161"/>
      <c r="D251" s="139"/>
      <c r="E251" s="139">
        <v>0.9</v>
      </c>
      <c r="F251" s="139"/>
      <c r="G251" s="153">
        <f t="shared" si="34"/>
        <v>-0.9</v>
      </c>
      <c r="H251" s="153">
        <f t="shared" si="35"/>
        <v>0</v>
      </c>
      <c r="R251" s="133"/>
    </row>
    <row r="252" spans="1:18" ht="24.75" customHeight="1">
      <c r="A252" s="176" t="s">
        <v>477</v>
      </c>
      <c r="B252" s="192" t="s">
        <v>89</v>
      </c>
      <c r="C252" s="193">
        <v>1030</v>
      </c>
      <c r="D252" s="141">
        <f>D253</f>
        <v>76.199999999999989</v>
      </c>
      <c r="E252" s="141">
        <f t="shared" ref="E252:F252" si="39">E253</f>
        <v>0</v>
      </c>
      <c r="F252" s="141">
        <f t="shared" si="39"/>
        <v>0</v>
      </c>
      <c r="G252" s="152">
        <f t="shared" si="34"/>
        <v>0</v>
      </c>
      <c r="H252" s="152"/>
      <c r="R252" s="133"/>
    </row>
    <row r="253" spans="1:18" ht="24.75" customHeight="1">
      <c r="A253" s="165" t="s">
        <v>478</v>
      </c>
      <c r="B253" s="194" t="s">
        <v>89</v>
      </c>
      <c r="C253" s="167">
        <v>1035</v>
      </c>
      <c r="D253" s="140">
        <f>SUM(D254:D257)</f>
        <v>76.199999999999989</v>
      </c>
      <c r="E253" s="140">
        <f t="shared" ref="E253:F253" si="40">SUM(E254:E257)</f>
        <v>0</v>
      </c>
      <c r="F253" s="140">
        <f t="shared" si="40"/>
        <v>0</v>
      </c>
      <c r="G253" s="152">
        <f t="shared" si="34"/>
        <v>0</v>
      </c>
      <c r="H253" s="152"/>
      <c r="R253" s="133"/>
    </row>
    <row r="254" spans="1:18" ht="24.75" customHeight="1">
      <c r="A254" s="215"/>
      <c r="B254" s="190" t="s">
        <v>192</v>
      </c>
      <c r="C254" s="216"/>
      <c r="D254" s="139">
        <v>37</v>
      </c>
      <c r="E254" s="139"/>
      <c r="F254" s="139"/>
      <c r="G254" s="152">
        <f t="shared" si="34"/>
        <v>0</v>
      </c>
      <c r="H254" s="152"/>
      <c r="R254" s="133"/>
    </row>
    <row r="255" spans="1:18" ht="24.75" customHeight="1">
      <c r="A255" s="215"/>
      <c r="B255" s="190" t="s">
        <v>193</v>
      </c>
      <c r="C255" s="216"/>
      <c r="D255" s="139">
        <v>1.8</v>
      </c>
      <c r="E255" s="139"/>
      <c r="F255" s="139"/>
      <c r="G255" s="152">
        <f t="shared" si="34"/>
        <v>0</v>
      </c>
      <c r="H255" s="152"/>
      <c r="R255" s="133"/>
    </row>
    <row r="256" spans="1:18" ht="24.75" customHeight="1">
      <c r="A256" s="162"/>
      <c r="B256" s="190" t="s">
        <v>194</v>
      </c>
      <c r="C256" s="161"/>
      <c r="D256" s="139">
        <v>11.8</v>
      </c>
      <c r="E256" s="139"/>
      <c r="F256" s="139"/>
      <c r="G256" s="152">
        <f t="shared" si="34"/>
        <v>0</v>
      </c>
      <c r="H256" s="152"/>
      <c r="R256" s="133"/>
    </row>
    <row r="257" spans="1:18" ht="25.5" customHeight="1">
      <c r="A257" s="217"/>
      <c r="B257" s="169" t="s">
        <v>281</v>
      </c>
      <c r="C257" s="218"/>
      <c r="D257" s="139">
        <v>25.6</v>
      </c>
      <c r="E257" s="139"/>
      <c r="F257" s="139"/>
      <c r="G257" s="152">
        <f t="shared" si="34"/>
        <v>0</v>
      </c>
      <c r="H257" s="152"/>
      <c r="R257" s="133"/>
    </row>
    <row r="258" spans="1:18" ht="38.25" customHeight="1">
      <c r="A258" s="195" t="s">
        <v>245</v>
      </c>
      <c r="B258" s="166" t="s">
        <v>333</v>
      </c>
      <c r="C258" s="157"/>
      <c r="D258" s="140"/>
      <c r="E258" s="140"/>
      <c r="F258" s="140">
        <f>F260</f>
        <v>1229.6999999999998</v>
      </c>
      <c r="G258" s="128">
        <f t="shared" si="34"/>
        <v>1229.6999999999998</v>
      </c>
      <c r="H258" s="152"/>
      <c r="R258" s="133"/>
    </row>
    <row r="259" spans="1:18" ht="29.25" customHeight="1">
      <c r="A259" s="165"/>
      <c r="B259" s="213" t="s">
        <v>82</v>
      </c>
      <c r="C259" s="136"/>
      <c r="D259" s="139"/>
      <c r="E259" s="139"/>
      <c r="F259" s="139"/>
      <c r="G259" s="152">
        <f t="shared" si="34"/>
        <v>0</v>
      </c>
      <c r="H259" s="152"/>
      <c r="R259" s="133"/>
    </row>
    <row r="260" spans="1:18" ht="36" customHeight="1">
      <c r="A260" s="176" t="s">
        <v>479</v>
      </c>
      <c r="B260" s="177" t="s">
        <v>86</v>
      </c>
      <c r="C260" s="193">
        <v>1010</v>
      </c>
      <c r="D260" s="141"/>
      <c r="E260" s="141"/>
      <c r="F260" s="141">
        <f>F261</f>
        <v>1229.6999999999998</v>
      </c>
      <c r="G260" s="152">
        <f t="shared" si="34"/>
        <v>1229.6999999999998</v>
      </c>
      <c r="H260" s="152"/>
      <c r="R260" s="133"/>
    </row>
    <row r="261" spans="1:18" ht="30" customHeight="1">
      <c r="A261" s="165" t="s">
        <v>480</v>
      </c>
      <c r="B261" s="180" t="s">
        <v>109</v>
      </c>
      <c r="C261" s="167">
        <v>1011</v>
      </c>
      <c r="D261" s="140"/>
      <c r="E261" s="140"/>
      <c r="F261" s="140">
        <f>SUM(F262:F267)</f>
        <v>1229.6999999999998</v>
      </c>
      <c r="G261" s="128">
        <f t="shared" si="34"/>
        <v>1229.6999999999998</v>
      </c>
      <c r="H261" s="128"/>
      <c r="R261" s="133"/>
    </row>
    <row r="262" spans="1:18" ht="27" customHeight="1">
      <c r="A262" s="165"/>
      <c r="B262" s="169" t="s">
        <v>278</v>
      </c>
      <c r="C262" s="167"/>
      <c r="D262" s="139"/>
      <c r="E262" s="139"/>
      <c r="F262" s="139">
        <v>41</v>
      </c>
      <c r="G262" s="153">
        <f t="shared" si="34"/>
        <v>41</v>
      </c>
      <c r="H262" s="153"/>
      <c r="R262" s="133"/>
    </row>
    <row r="263" spans="1:18" ht="36" customHeight="1">
      <c r="A263" s="165"/>
      <c r="B263" s="169" t="s">
        <v>334</v>
      </c>
      <c r="C263" s="167"/>
      <c r="D263" s="139"/>
      <c r="E263" s="139"/>
      <c r="F263" s="139">
        <v>63.9</v>
      </c>
      <c r="G263" s="153">
        <f t="shared" si="34"/>
        <v>63.9</v>
      </c>
      <c r="H263" s="153"/>
      <c r="R263" s="133"/>
    </row>
    <row r="264" spans="1:18" ht="36" customHeight="1">
      <c r="A264" s="165"/>
      <c r="B264" s="169" t="s">
        <v>239</v>
      </c>
      <c r="C264" s="167"/>
      <c r="D264" s="139"/>
      <c r="E264" s="139"/>
      <c r="F264" s="139">
        <v>841.9</v>
      </c>
      <c r="G264" s="153">
        <f t="shared" si="34"/>
        <v>841.9</v>
      </c>
      <c r="H264" s="153"/>
      <c r="R264" s="133"/>
    </row>
    <row r="265" spans="1:18" ht="36" customHeight="1">
      <c r="A265" s="165"/>
      <c r="B265" s="169" t="s">
        <v>280</v>
      </c>
      <c r="C265" s="167"/>
      <c r="D265" s="139"/>
      <c r="E265" s="139"/>
      <c r="F265" s="139">
        <v>162.30000000000001</v>
      </c>
      <c r="G265" s="153">
        <f t="shared" si="34"/>
        <v>162.30000000000001</v>
      </c>
      <c r="H265" s="153"/>
      <c r="R265" s="133"/>
    </row>
    <row r="266" spans="1:18" ht="36" customHeight="1">
      <c r="A266" s="165"/>
      <c r="B266" s="169" t="s">
        <v>240</v>
      </c>
      <c r="C266" s="167"/>
      <c r="D266" s="139"/>
      <c r="E266" s="139"/>
      <c r="F266" s="139">
        <v>103.3</v>
      </c>
      <c r="G266" s="153">
        <f t="shared" si="34"/>
        <v>103.3</v>
      </c>
      <c r="H266" s="153"/>
      <c r="R266" s="133"/>
    </row>
    <row r="267" spans="1:18" ht="36" customHeight="1">
      <c r="A267" s="165"/>
      <c r="B267" s="169" t="s">
        <v>147</v>
      </c>
      <c r="C267" s="167"/>
      <c r="D267" s="139"/>
      <c r="E267" s="139"/>
      <c r="F267" s="139">
        <v>17.3</v>
      </c>
      <c r="G267" s="153">
        <f t="shared" si="34"/>
        <v>17.3</v>
      </c>
      <c r="H267" s="153"/>
      <c r="R267" s="133"/>
    </row>
    <row r="268" spans="1:18" ht="41.25" customHeight="1">
      <c r="A268" s="195" t="s">
        <v>367</v>
      </c>
      <c r="B268" s="198" t="s">
        <v>244</v>
      </c>
      <c r="C268" s="171"/>
      <c r="D268" s="140">
        <f>D270</f>
        <v>1.4</v>
      </c>
      <c r="E268" s="140">
        <f>E270</f>
        <v>1.8</v>
      </c>
      <c r="F268" s="140">
        <f>F270</f>
        <v>1.2</v>
      </c>
      <c r="G268" s="128">
        <f t="shared" si="34"/>
        <v>-0.60000000000000009</v>
      </c>
      <c r="H268" s="128">
        <f t="shared" si="35"/>
        <v>66.666666666666657</v>
      </c>
      <c r="I268" s="134"/>
      <c r="R268" s="133"/>
    </row>
    <row r="269" spans="1:18" ht="24.75" customHeight="1">
      <c r="A269" s="162"/>
      <c r="B269" s="160" t="s">
        <v>82</v>
      </c>
      <c r="C269" s="136"/>
      <c r="D269" s="139"/>
      <c r="E269" s="139"/>
      <c r="F269" s="139"/>
      <c r="G269" s="152"/>
      <c r="H269" s="152"/>
      <c r="R269" s="133"/>
    </row>
    <row r="270" spans="1:18" ht="36" customHeight="1">
      <c r="A270" s="162" t="s">
        <v>368</v>
      </c>
      <c r="B270" s="177" t="s">
        <v>86</v>
      </c>
      <c r="C270" s="193">
        <v>1010</v>
      </c>
      <c r="D270" s="141">
        <f t="shared" ref="D270:F271" si="41">D271</f>
        <v>1.4</v>
      </c>
      <c r="E270" s="141">
        <f t="shared" si="41"/>
        <v>1.8</v>
      </c>
      <c r="F270" s="141">
        <f t="shared" si="41"/>
        <v>1.2</v>
      </c>
      <c r="G270" s="152">
        <f t="shared" si="34"/>
        <v>-0.60000000000000009</v>
      </c>
      <c r="H270" s="152">
        <f t="shared" si="35"/>
        <v>66.666666666666657</v>
      </c>
      <c r="R270" s="133"/>
    </row>
    <row r="271" spans="1:18" ht="24.75" customHeight="1">
      <c r="A271" s="195" t="s">
        <v>481</v>
      </c>
      <c r="B271" s="158" t="s">
        <v>94</v>
      </c>
      <c r="C271" s="157">
        <v>1015</v>
      </c>
      <c r="D271" s="140">
        <f t="shared" si="41"/>
        <v>1.4</v>
      </c>
      <c r="E271" s="140">
        <f t="shared" si="41"/>
        <v>1.8</v>
      </c>
      <c r="F271" s="140">
        <f t="shared" si="41"/>
        <v>1.2</v>
      </c>
      <c r="G271" s="128">
        <f t="shared" si="34"/>
        <v>-0.60000000000000009</v>
      </c>
      <c r="H271" s="128">
        <f t="shared" si="35"/>
        <v>66.666666666666657</v>
      </c>
      <c r="R271" s="133"/>
    </row>
    <row r="272" spans="1:18" ht="24.75" customHeight="1">
      <c r="A272" s="195"/>
      <c r="B272" s="160" t="s">
        <v>185</v>
      </c>
      <c r="C272" s="158"/>
      <c r="D272" s="139">
        <v>1.4</v>
      </c>
      <c r="E272" s="139">
        <v>1.8</v>
      </c>
      <c r="F272" s="139">
        <v>1.2</v>
      </c>
      <c r="G272" s="153">
        <f t="shared" si="34"/>
        <v>-0.60000000000000009</v>
      </c>
      <c r="H272" s="153">
        <f t="shared" si="35"/>
        <v>66.666666666666657</v>
      </c>
      <c r="R272" s="133"/>
    </row>
    <row r="273" spans="1:18" ht="54.75" customHeight="1">
      <c r="A273" s="195" t="s">
        <v>482</v>
      </c>
      <c r="B273" s="198" t="s">
        <v>492</v>
      </c>
      <c r="C273" s="172"/>
      <c r="D273" s="139"/>
      <c r="E273" s="139"/>
      <c r="F273" s="140">
        <f>F274</f>
        <v>0.7</v>
      </c>
      <c r="G273" s="153"/>
      <c r="H273" s="153"/>
      <c r="R273" s="133"/>
    </row>
    <row r="274" spans="1:18" ht="24.75" customHeight="1">
      <c r="A274" s="162" t="s">
        <v>361</v>
      </c>
      <c r="B274" s="177" t="s">
        <v>86</v>
      </c>
      <c r="C274" s="193">
        <v>1010</v>
      </c>
      <c r="D274" s="139"/>
      <c r="E274" s="139"/>
      <c r="F274" s="141">
        <f>F275</f>
        <v>0.7</v>
      </c>
      <c r="G274" s="153"/>
      <c r="H274" s="153"/>
      <c r="R274" s="133"/>
    </row>
    <row r="275" spans="1:18" ht="24.75" customHeight="1">
      <c r="A275" s="195" t="s">
        <v>384</v>
      </c>
      <c r="B275" s="158" t="s">
        <v>94</v>
      </c>
      <c r="C275" s="157">
        <v>1015</v>
      </c>
      <c r="D275" s="139"/>
      <c r="E275" s="139"/>
      <c r="F275" s="140">
        <f>F276</f>
        <v>0.7</v>
      </c>
      <c r="G275" s="153"/>
      <c r="H275" s="153"/>
      <c r="R275" s="133"/>
    </row>
    <row r="276" spans="1:18" ht="24.75" customHeight="1">
      <c r="A276" s="195"/>
      <c r="B276" s="160" t="s">
        <v>185</v>
      </c>
      <c r="C276" s="158"/>
      <c r="D276" s="139"/>
      <c r="E276" s="139"/>
      <c r="F276" s="139">
        <v>0.7</v>
      </c>
      <c r="G276" s="153"/>
      <c r="H276" s="153"/>
      <c r="R276" s="133"/>
    </row>
    <row r="277" spans="1:18" ht="24.75" customHeight="1">
      <c r="A277" s="195" t="s">
        <v>248</v>
      </c>
      <c r="B277" s="166" t="s">
        <v>374</v>
      </c>
      <c r="C277" s="158"/>
      <c r="D277" s="140">
        <f>SUM(,D279,D281)</f>
        <v>19.399999999999999</v>
      </c>
      <c r="E277" s="140">
        <f t="shared" ref="E277:F277" si="42">SUM(,E279,E281)</f>
        <v>14.7</v>
      </c>
      <c r="F277" s="140">
        <f t="shared" si="42"/>
        <v>14.5</v>
      </c>
      <c r="G277" s="128">
        <f t="shared" si="34"/>
        <v>-0.19999999999999929</v>
      </c>
      <c r="H277" s="128">
        <f t="shared" si="35"/>
        <v>98.639455782312936</v>
      </c>
      <c r="I277" s="134"/>
      <c r="R277" s="133"/>
    </row>
    <row r="278" spans="1:18" ht="37.5" customHeight="1">
      <c r="A278" s="162" t="s">
        <v>288</v>
      </c>
      <c r="B278" s="177" t="s">
        <v>86</v>
      </c>
      <c r="C278" s="193">
        <v>1010</v>
      </c>
      <c r="D278" s="141">
        <f>D279</f>
        <v>0.5</v>
      </c>
      <c r="E278" s="141"/>
      <c r="F278" s="141">
        <f>F279</f>
        <v>0</v>
      </c>
      <c r="G278" s="152">
        <f t="shared" si="34"/>
        <v>0</v>
      </c>
      <c r="H278" s="152"/>
      <c r="R278" s="133"/>
    </row>
    <row r="279" spans="1:18" ht="24.75" customHeight="1">
      <c r="A279" s="195" t="s">
        <v>385</v>
      </c>
      <c r="B279" s="158" t="s">
        <v>94</v>
      </c>
      <c r="C279" s="157">
        <v>1015</v>
      </c>
      <c r="D279" s="140">
        <f>D280</f>
        <v>0.5</v>
      </c>
      <c r="E279" s="140"/>
      <c r="F279" s="140"/>
      <c r="G279" s="152">
        <f t="shared" si="34"/>
        <v>0</v>
      </c>
      <c r="H279" s="152"/>
      <c r="R279" s="133"/>
    </row>
    <row r="280" spans="1:18" ht="24.75" customHeight="1">
      <c r="A280" s="195"/>
      <c r="B280" s="160" t="s">
        <v>185</v>
      </c>
      <c r="C280" s="158"/>
      <c r="D280" s="139">
        <v>0.5</v>
      </c>
      <c r="E280" s="139"/>
      <c r="F280" s="139"/>
      <c r="G280" s="152">
        <f t="shared" si="34"/>
        <v>0</v>
      </c>
      <c r="H280" s="152"/>
      <c r="R280" s="133"/>
    </row>
    <row r="281" spans="1:18" ht="24.75" customHeight="1">
      <c r="A281" s="162" t="s">
        <v>369</v>
      </c>
      <c r="B281" s="192" t="s">
        <v>13</v>
      </c>
      <c r="C281" s="193">
        <v>1030</v>
      </c>
      <c r="D281" s="141">
        <f>D282</f>
        <v>18.899999999999999</v>
      </c>
      <c r="E281" s="141">
        <f>E282</f>
        <v>14.7</v>
      </c>
      <c r="F281" s="141">
        <f>F282</f>
        <v>14.5</v>
      </c>
      <c r="G281" s="152">
        <f t="shared" si="34"/>
        <v>-0.19999999999999929</v>
      </c>
      <c r="H281" s="152">
        <f t="shared" si="35"/>
        <v>98.639455782312936</v>
      </c>
      <c r="R281" s="133"/>
    </row>
    <row r="282" spans="1:18" ht="24.75" customHeight="1">
      <c r="A282" s="195" t="s">
        <v>386</v>
      </c>
      <c r="B282" s="219" t="s">
        <v>89</v>
      </c>
      <c r="C282" s="167">
        <v>1035</v>
      </c>
      <c r="D282" s="140">
        <f>D283+D284+D285+D286</f>
        <v>18.899999999999999</v>
      </c>
      <c r="E282" s="140">
        <f>E283+E284+E285</f>
        <v>14.7</v>
      </c>
      <c r="F282" s="140">
        <f>SUM(F283:F286)</f>
        <v>14.5</v>
      </c>
      <c r="G282" s="128">
        <f t="shared" si="34"/>
        <v>-0.19999999999999929</v>
      </c>
      <c r="H282" s="128">
        <f t="shared" si="35"/>
        <v>98.639455782312936</v>
      </c>
      <c r="R282" s="133"/>
    </row>
    <row r="283" spans="1:18" ht="24.75" customHeight="1">
      <c r="A283" s="200"/>
      <c r="B283" s="169" t="s">
        <v>192</v>
      </c>
      <c r="C283" s="136"/>
      <c r="D283" s="139">
        <v>5.4</v>
      </c>
      <c r="E283" s="139">
        <v>5.0999999999999996</v>
      </c>
      <c r="F283" s="139">
        <v>4.8</v>
      </c>
      <c r="G283" s="153">
        <f t="shared" si="34"/>
        <v>-0.29999999999999982</v>
      </c>
      <c r="H283" s="153">
        <f t="shared" si="35"/>
        <v>94.117647058823522</v>
      </c>
      <c r="R283" s="133"/>
    </row>
    <row r="284" spans="1:18" ht="24.75" customHeight="1">
      <c r="A284" s="200"/>
      <c r="B284" s="169" t="s">
        <v>193</v>
      </c>
      <c r="C284" s="136"/>
      <c r="D284" s="139">
        <v>0.2</v>
      </c>
      <c r="E284" s="139">
        <v>0.6</v>
      </c>
      <c r="F284" s="139">
        <v>0.5</v>
      </c>
      <c r="G284" s="153">
        <f t="shared" si="34"/>
        <v>-9.9999999999999978E-2</v>
      </c>
      <c r="H284" s="153">
        <f t="shared" si="35"/>
        <v>83.333333333333343</v>
      </c>
      <c r="R284" s="133"/>
    </row>
    <row r="285" spans="1:18" ht="24.75" customHeight="1">
      <c r="A285" s="195"/>
      <c r="B285" s="169" t="s">
        <v>194</v>
      </c>
      <c r="C285" s="136"/>
      <c r="D285" s="139">
        <v>13.1</v>
      </c>
      <c r="E285" s="139">
        <v>9</v>
      </c>
      <c r="F285" s="139">
        <v>9.1999999999999993</v>
      </c>
      <c r="G285" s="153">
        <f t="shared" si="34"/>
        <v>0.19999999999999929</v>
      </c>
      <c r="H285" s="153">
        <f t="shared" si="35"/>
        <v>102.22222222222221</v>
      </c>
      <c r="R285" s="133"/>
    </row>
    <row r="286" spans="1:18" ht="24.75" customHeight="1">
      <c r="A286" s="195"/>
      <c r="B286" s="169" t="s">
        <v>195</v>
      </c>
      <c r="C286" s="136"/>
      <c r="D286" s="139">
        <v>0.2</v>
      </c>
      <c r="E286" s="139"/>
      <c r="F286" s="139"/>
      <c r="G286" s="152">
        <f t="shared" si="34"/>
        <v>0</v>
      </c>
      <c r="H286" s="152"/>
      <c r="R286" s="133"/>
    </row>
    <row r="287" spans="1:18" ht="24.75" customHeight="1">
      <c r="A287" s="195" t="s">
        <v>370</v>
      </c>
      <c r="B287" s="198" t="s">
        <v>493</v>
      </c>
      <c r="C287" s="157"/>
      <c r="D287" s="140"/>
      <c r="E287" s="140"/>
      <c r="F287" s="140">
        <f>F288</f>
        <v>1.7999999999999998</v>
      </c>
      <c r="G287" s="220"/>
      <c r="H287" s="220"/>
      <c r="R287" s="133"/>
    </row>
    <row r="288" spans="1:18" ht="24.75" customHeight="1">
      <c r="A288" s="162" t="s">
        <v>371</v>
      </c>
      <c r="B288" s="192" t="s">
        <v>13</v>
      </c>
      <c r="C288" s="193">
        <v>1030</v>
      </c>
      <c r="D288" s="139"/>
      <c r="E288" s="139"/>
      <c r="F288" s="141">
        <f>F289</f>
        <v>1.7999999999999998</v>
      </c>
      <c r="G288" s="152"/>
      <c r="H288" s="152"/>
      <c r="R288" s="133"/>
    </row>
    <row r="289" spans="1:18" ht="24.75" customHeight="1">
      <c r="A289" s="195" t="s">
        <v>387</v>
      </c>
      <c r="B289" s="219" t="s">
        <v>89</v>
      </c>
      <c r="C289" s="167">
        <v>1035</v>
      </c>
      <c r="D289" s="139"/>
      <c r="E289" s="139"/>
      <c r="F289" s="140">
        <f>SUM(F290:F292)</f>
        <v>1.7999999999999998</v>
      </c>
      <c r="G289" s="152"/>
      <c r="H289" s="152"/>
      <c r="R289" s="133"/>
    </row>
    <row r="290" spans="1:18" ht="24.75" customHeight="1">
      <c r="A290" s="200"/>
      <c r="B290" s="169" t="s">
        <v>192</v>
      </c>
      <c r="C290" s="136"/>
      <c r="D290" s="139"/>
      <c r="E290" s="139"/>
      <c r="F290" s="139">
        <v>0.6</v>
      </c>
      <c r="G290" s="152"/>
      <c r="H290" s="152"/>
      <c r="R290" s="133"/>
    </row>
    <row r="291" spans="1:18" ht="24.75" customHeight="1">
      <c r="A291" s="200"/>
      <c r="B291" s="169" t="s">
        <v>193</v>
      </c>
      <c r="C291" s="136"/>
      <c r="D291" s="139"/>
      <c r="E291" s="139"/>
      <c r="F291" s="139">
        <v>0.3</v>
      </c>
      <c r="G291" s="152"/>
      <c r="H291" s="152"/>
      <c r="R291" s="133"/>
    </row>
    <row r="292" spans="1:18" ht="24.75" customHeight="1">
      <c r="A292" s="195"/>
      <c r="B292" s="169" t="s">
        <v>194</v>
      </c>
      <c r="C292" s="136"/>
      <c r="D292" s="139"/>
      <c r="E292" s="139"/>
      <c r="F292" s="139">
        <v>0.9</v>
      </c>
      <c r="G292" s="152"/>
      <c r="H292" s="152"/>
      <c r="R292" s="133"/>
    </row>
    <row r="293" spans="1:18" ht="24.75" customHeight="1">
      <c r="A293" s="195" t="s">
        <v>250</v>
      </c>
      <c r="B293" s="166" t="s">
        <v>246</v>
      </c>
      <c r="C293" s="221"/>
      <c r="D293" s="140">
        <f>D294</f>
        <v>16</v>
      </c>
      <c r="E293" s="140"/>
      <c r="F293" s="140"/>
      <c r="G293" s="220">
        <f t="shared" ref="G293:G356" si="43">F293-E293</f>
        <v>0</v>
      </c>
      <c r="H293" s="220"/>
      <c r="R293" s="133"/>
    </row>
    <row r="294" spans="1:18" ht="24.75" customHeight="1">
      <c r="A294" s="162" t="s">
        <v>252</v>
      </c>
      <c r="B294" s="174" t="s">
        <v>88</v>
      </c>
      <c r="C294" s="193">
        <v>1020</v>
      </c>
      <c r="D294" s="141">
        <f>D295</f>
        <v>16</v>
      </c>
      <c r="E294" s="141"/>
      <c r="F294" s="141"/>
      <c r="G294" s="152">
        <f t="shared" si="43"/>
        <v>0</v>
      </c>
      <c r="H294" s="152"/>
      <c r="R294" s="133"/>
    </row>
    <row r="295" spans="1:18" ht="24.75" customHeight="1">
      <c r="A295" s="195" t="s">
        <v>483</v>
      </c>
      <c r="B295" s="180" t="s">
        <v>109</v>
      </c>
      <c r="C295" s="171">
        <v>1021</v>
      </c>
      <c r="D295" s="140">
        <f>D296</f>
        <v>16</v>
      </c>
      <c r="E295" s="140"/>
      <c r="F295" s="140"/>
      <c r="G295" s="152">
        <f t="shared" si="43"/>
        <v>0</v>
      </c>
      <c r="H295" s="152"/>
      <c r="R295" s="133"/>
    </row>
    <row r="296" spans="1:18" ht="39" customHeight="1">
      <c r="A296" s="217"/>
      <c r="B296" s="169" t="s">
        <v>177</v>
      </c>
      <c r="C296" s="222"/>
      <c r="D296" s="139">
        <v>16</v>
      </c>
      <c r="E296" s="139"/>
      <c r="F296" s="139"/>
      <c r="G296" s="152">
        <f t="shared" si="43"/>
        <v>0</v>
      </c>
      <c r="H296" s="152"/>
      <c r="R296" s="133"/>
    </row>
    <row r="297" spans="1:18" ht="24.75" customHeight="1">
      <c r="A297" s="195" t="s">
        <v>255</v>
      </c>
      <c r="B297" s="223" t="s">
        <v>247</v>
      </c>
      <c r="C297" s="158"/>
      <c r="D297" s="140"/>
      <c r="E297" s="140"/>
      <c r="F297" s="140">
        <f>F298+F311+F315</f>
        <v>1367.9</v>
      </c>
      <c r="G297" s="128">
        <f t="shared" si="43"/>
        <v>1367.9</v>
      </c>
      <c r="H297" s="128"/>
      <c r="R297" s="133"/>
    </row>
    <row r="298" spans="1:18" ht="36.75" customHeight="1">
      <c r="A298" s="162" t="s">
        <v>362</v>
      </c>
      <c r="B298" s="177" t="s">
        <v>86</v>
      </c>
      <c r="C298" s="164">
        <v>1010</v>
      </c>
      <c r="D298" s="141"/>
      <c r="E298" s="141"/>
      <c r="F298" s="141">
        <f>F299+F306</f>
        <v>1366</v>
      </c>
      <c r="G298" s="152">
        <f t="shared" si="43"/>
        <v>1366</v>
      </c>
      <c r="H298" s="152"/>
      <c r="R298" s="133"/>
    </row>
    <row r="299" spans="1:18" ht="24.75" customHeight="1">
      <c r="A299" s="195" t="s">
        <v>494</v>
      </c>
      <c r="B299" s="180" t="s">
        <v>109</v>
      </c>
      <c r="C299" s="167">
        <v>1011</v>
      </c>
      <c r="D299" s="140"/>
      <c r="E299" s="140"/>
      <c r="F299" s="140">
        <f>SUM(F300:F305)</f>
        <v>1178.7</v>
      </c>
      <c r="G299" s="128">
        <f t="shared" si="43"/>
        <v>1178.7</v>
      </c>
      <c r="H299" s="152"/>
      <c r="R299" s="133"/>
    </row>
    <row r="300" spans="1:18" ht="24.75" customHeight="1">
      <c r="A300" s="195"/>
      <c r="B300" s="182" t="s">
        <v>147</v>
      </c>
      <c r="C300" s="158"/>
      <c r="D300" s="139"/>
      <c r="E300" s="139"/>
      <c r="F300" s="139">
        <f>173.7+784.8+138.4+6.9+31.5+1.2</f>
        <v>1136.5000000000002</v>
      </c>
      <c r="G300" s="153">
        <f t="shared" si="43"/>
        <v>1136.5000000000002</v>
      </c>
      <c r="H300" s="152"/>
      <c r="R300" s="133"/>
    </row>
    <row r="301" spans="1:18" ht="24.75" customHeight="1">
      <c r="A301" s="195"/>
      <c r="B301" s="224" t="s">
        <v>148</v>
      </c>
      <c r="C301" s="158"/>
      <c r="D301" s="139"/>
      <c r="E301" s="139"/>
      <c r="F301" s="139">
        <v>14.8</v>
      </c>
      <c r="G301" s="153">
        <f t="shared" si="43"/>
        <v>14.8</v>
      </c>
      <c r="H301" s="152"/>
      <c r="R301" s="133"/>
    </row>
    <row r="302" spans="1:18" ht="24.75" customHeight="1">
      <c r="A302" s="195"/>
      <c r="B302" s="224" t="s">
        <v>331</v>
      </c>
      <c r="C302" s="158"/>
      <c r="D302" s="139"/>
      <c r="E302" s="139"/>
      <c r="F302" s="139"/>
      <c r="G302" s="153">
        <f t="shared" si="43"/>
        <v>0</v>
      </c>
      <c r="H302" s="152"/>
      <c r="R302" s="133"/>
    </row>
    <row r="303" spans="1:18" ht="40.5" customHeight="1">
      <c r="A303" s="195"/>
      <c r="B303" s="224" t="s">
        <v>177</v>
      </c>
      <c r="C303" s="158"/>
      <c r="D303" s="139"/>
      <c r="E303" s="139"/>
      <c r="F303" s="139">
        <v>24.5</v>
      </c>
      <c r="G303" s="153">
        <f t="shared" si="43"/>
        <v>24.5</v>
      </c>
      <c r="H303" s="152"/>
      <c r="R303" s="133"/>
    </row>
    <row r="304" spans="1:18" ht="28.5" customHeight="1">
      <c r="A304" s="195"/>
      <c r="B304" s="169" t="s">
        <v>178</v>
      </c>
      <c r="C304" s="158"/>
      <c r="D304" s="139"/>
      <c r="E304" s="139"/>
      <c r="F304" s="139">
        <v>0.3</v>
      </c>
      <c r="G304" s="153">
        <f t="shared" si="43"/>
        <v>0.3</v>
      </c>
      <c r="H304" s="152"/>
      <c r="R304" s="133"/>
    </row>
    <row r="305" spans="1:18" ht="39.75" customHeight="1">
      <c r="A305" s="195"/>
      <c r="B305" s="169" t="s">
        <v>208</v>
      </c>
      <c r="C305" s="158"/>
      <c r="D305" s="139"/>
      <c r="E305" s="139"/>
      <c r="F305" s="139">
        <v>2.6</v>
      </c>
      <c r="G305" s="153">
        <f t="shared" si="43"/>
        <v>2.6</v>
      </c>
      <c r="H305" s="152"/>
      <c r="R305" s="133"/>
    </row>
    <row r="306" spans="1:18" ht="24.75" customHeight="1">
      <c r="A306" s="195" t="s">
        <v>484</v>
      </c>
      <c r="B306" s="158" t="s">
        <v>94</v>
      </c>
      <c r="C306" s="157">
        <v>1015</v>
      </c>
      <c r="D306" s="140"/>
      <c r="E306" s="140"/>
      <c r="F306" s="140">
        <f>SUM(F307:F310)</f>
        <v>187.29999999999998</v>
      </c>
      <c r="G306" s="128">
        <f t="shared" si="43"/>
        <v>187.29999999999998</v>
      </c>
      <c r="H306" s="152"/>
      <c r="R306" s="133"/>
    </row>
    <row r="307" spans="1:18" ht="24.75" customHeight="1">
      <c r="A307" s="217"/>
      <c r="B307" s="225" t="s">
        <v>332</v>
      </c>
      <c r="C307" s="157"/>
      <c r="D307" s="139"/>
      <c r="E307" s="139"/>
      <c r="F307" s="139">
        <v>6.6</v>
      </c>
      <c r="G307" s="153">
        <f t="shared" si="43"/>
        <v>6.6</v>
      </c>
      <c r="H307" s="153"/>
      <c r="R307" s="133"/>
    </row>
    <row r="308" spans="1:18" ht="24.75" customHeight="1">
      <c r="A308" s="217"/>
      <c r="B308" s="225" t="s">
        <v>253</v>
      </c>
      <c r="C308" s="157"/>
      <c r="D308" s="139"/>
      <c r="E308" s="139"/>
      <c r="F308" s="139">
        <v>13.2</v>
      </c>
      <c r="G308" s="153">
        <f t="shared" si="43"/>
        <v>13.2</v>
      </c>
      <c r="H308" s="153"/>
      <c r="R308" s="133"/>
    </row>
    <row r="309" spans="1:18" ht="24.75" customHeight="1">
      <c r="A309" s="217"/>
      <c r="B309" s="225" t="s">
        <v>185</v>
      </c>
      <c r="C309" s="157"/>
      <c r="D309" s="139"/>
      <c r="E309" s="139"/>
      <c r="F309" s="139">
        <v>166.1</v>
      </c>
      <c r="G309" s="153">
        <f t="shared" si="43"/>
        <v>166.1</v>
      </c>
      <c r="H309" s="153"/>
      <c r="R309" s="133"/>
    </row>
    <row r="310" spans="1:18" ht="24.75" customHeight="1">
      <c r="A310" s="217"/>
      <c r="B310" s="225" t="s">
        <v>195</v>
      </c>
      <c r="C310" s="157"/>
      <c r="D310" s="139"/>
      <c r="E310" s="139"/>
      <c r="F310" s="139">
        <v>1.4</v>
      </c>
      <c r="G310" s="153">
        <f t="shared" si="43"/>
        <v>1.4</v>
      </c>
      <c r="H310" s="153"/>
      <c r="R310" s="133"/>
    </row>
    <row r="311" spans="1:18" ht="24.75" customHeight="1">
      <c r="A311" s="162" t="s">
        <v>442</v>
      </c>
      <c r="B311" s="226" t="s">
        <v>88</v>
      </c>
      <c r="C311" s="164">
        <v>1020</v>
      </c>
      <c r="D311" s="141"/>
      <c r="E311" s="141"/>
      <c r="F311" s="141">
        <f>F312</f>
        <v>1.7000000000000002</v>
      </c>
      <c r="G311" s="152">
        <f t="shared" si="43"/>
        <v>1.7000000000000002</v>
      </c>
      <c r="H311" s="152"/>
      <c r="R311" s="133"/>
    </row>
    <row r="312" spans="1:18" ht="24.75" customHeight="1">
      <c r="A312" s="195" t="s">
        <v>485</v>
      </c>
      <c r="B312" s="191" t="s">
        <v>199</v>
      </c>
      <c r="C312" s="167">
        <v>1025</v>
      </c>
      <c r="D312" s="140"/>
      <c r="E312" s="140"/>
      <c r="F312" s="140">
        <f>SUM(F313:F314)</f>
        <v>1.7000000000000002</v>
      </c>
      <c r="G312" s="128">
        <f t="shared" si="43"/>
        <v>1.7000000000000002</v>
      </c>
      <c r="H312" s="128"/>
      <c r="R312" s="133"/>
    </row>
    <row r="313" spans="1:18" ht="36" customHeight="1">
      <c r="A313" s="195"/>
      <c r="B313" s="169" t="s">
        <v>170</v>
      </c>
      <c r="C313" s="167"/>
      <c r="D313" s="139"/>
      <c r="E313" s="139"/>
      <c r="F313" s="139">
        <v>1.3</v>
      </c>
      <c r="G313" s="153">
        <f t="shared" si="43"/>
        <v>1.3</v>
      </c>
      <c r="H313" s="152"/>
      <c r="R313" s="133"/>
    </row>
    <row r="314" spans="1:18" ht="24.75" customHeight="1">
      <c r="A314" s="195"/>
      <c r="B314" s="224" t="s">
        <v>190</v>
      </c>
      <c r="C314" s="157"/>
      <c r="D314" s="139"/>
      <c r="E314" s="139"/>
      <c r="F314" s="139">
        <v>0.4</v>
      </c>
      <c r="G314" s="153">
        <f t="shared" si="43"/>
        <v>0.4</v>
      </c>
      <c r="H314" s="152"/>
      <c r="R314" s="133"/>
    </row>
    <row r="315" spans="1:18" ht="24.75" customHeight="1">
      <c r="A315" s="162" t="s">
        <v>495</v>
      </c>
      <c r="B315" s="174" t="s">
        <v>89</v>
      </c>
      <c r="C315" s="164">
        <v>1030</v>
      </c>
      <c r="D315" s="141"/>
      <c r="E315" s="141"/>
      <c r="F315" s="141">
        <f>F316</f>
        <v>0.2</v>
      </c>
      <c r="G315" s="152">
        <f t="shared" si="43"/>
        <v>0.2</v>
      </c>
      <c r="H315" s="152"/>
      <c r="R315" s="133"/>
    </row>
    <row r="316" spans="1:18" ht="24.75" customHeight="1">
      <c r="A316" s="195" t="s">
        <v>496</v>
      </c>
      <c r="B316" s="194" t="s">
        <v>89</v>
      </c>
      <c r="C316" s="167">
        <v>1035</v>
      </c>
      <c r="D316" s="140"/>
      <c r="E316" s="140"/>
      <c r="F316" s="140">
        <f>F317</f>
        <v>0.2</v>
      </c>
      <c r="G316" s="128">
        <f t="shared" si="43"/>
        <v>0.2</v>
      </c>
      <c r="H316" s="152"/>
      <c r="R316" s="133"/>
    </row>
    <row r="317" spans="1:18" ht="24.75" customHeight="1">
      <c r="A317" s="195"/>
      <c r="B317" s="224" t="s">
        <v>335</v>
      </c>
      <c r="C317" s="157"/>
      <c r="D317" s="139"/>
      <c r="E317" s="139"/>
      <c r="F317" s="139">
        <v>0.2</v>
      </c>
      <c r="G317" s="153">
        <f t="shared" si="43"/>
        <v>0.2</v>
      </c>
      <c r="H317" s="152"/>
      <c r="R317" s="133"/>
    </row>
    <row r="318" spans="1:18" ht="24.75" customHeight="1">
      <c r="A318" s="195" t="s">
        <v>486</v>
      </c>
      <c r="B318" s="166" t="s">
        <v>249</v>
      </c>
      <c r="C318" s="158"/>
      <c r="D318" s="140">
        <f>SUM(D320,D336,)</f>
        <v>1509.1</v>
      </c>
      <c r="E318" s="140">
        <f t="shared" ref="E318:F318" si="44">SUM(E320,E336,)</f>
        <v>0</v>
      </c>
      <c r="F318" s="140">
        <f t="shared" si="44"/>
        <v>87.200000000000017</v>
      </c>
      <c r="G318" s="128">
        <f t="shared" si="43"/>
        <v>87.200000000000017</v>
      </c>
      <c r="H318" s="128"/>
      <c r="R318" s="133"/>
    </row>
    <row r="319" spans="1:18" ht="24.75" customHeight="1">
      <c r="A319" s="217"/>
      <c r="B319" s="169" t="s">
        <v>82</v>
      </c>
      <c r="C319" s="158"/>
      <c r="D319" s="139"/>
      <c r="E319" s="139"/>
      <c r="F319" s="139"/>
      <c r="G319" s="152">
        <f t="shared" si="43"/>
        <v>0</v>
      </c>
      <c r="H319" s="152"/>
      <c r="R319" s="133"/>
    </row>
    <row r="320" spans="1:18" ht="29.25" customHeight="1">
      <c r="A320" s="162" t="s">
        <v>487</v>
      </c>
      <c r="B320" s="177" t="s">
        <v>86</v>
      </c>
      <c r="C320" s="164">
        <v>1010</v>
      </c>
      <c r="D320" s="141">
        <f>D321+D329</f>
        <v>1483.8999999999999</v>
      </c>
      <c r="E320" s="141">
        <f>E321+E329</f>
        <v>0</v>
      </c>
      <c r="F320" s="141">
        <f>F321+F329+F328</f>
        <v>67.800000000000011</v>
      </c>
      <c r="G320" s="152">
        <f t="shared" si="43"/>
        <v>67.800000000000011</v>
      </c>
      <c r="H320" s="152"/>
      <c r="R320" s="133"/>
    </row>
    <row r="321" spans="1:18" ht="24.75" customHeight="1">
      <c r="A321" s="195" t="s">
        <v>497</v>
      </c>
      <c r="B321" s="180" t="s">
        <v>109</v>
      </c>
      <c r="C321" s="167">
        <v>1011</v>
      </c>
      <c r="D321" s="140">
        <f>SUM(D322:D327)</f>
        <v>1274.6999999999998</v>
      </c>
      <c r="E321" s="140">
        <f>SUM(E322:E327)</f>
        <v>0</v>
      </c>
      <c r="F321" s="140">
        <f>SUM(F322:F327)</f>
        <v>47.2</v>
      </c>
      <c r="G321" s="128">
        <f t="shared" si="43"/>
        <v>47.2</v>
      </c>
      <c r="H321" s="152"/>
      <c r="R321" s="133"/>
    </row>
    <row r="322" spans="1:18" ht="24.75" customHeight="1">
      <c r="A322" s="195"/>
      <c r="B322" s="182" t="s">
        <v>147</v>
      </c>
      <c r="C322" s="167"/>
      <c r="D322" s="139">
        <v>463.4</v>
      </c>
      <c r="E322" s="139"/>
      <c r="F322" s="139"/>
      <c r="G322" s="152">
        <f t="shared" si="43"/>
        <v>0</v>
      </c>
      <c r="H322" s="152"/>
      <c r="R322" s="133"/>
    </row>
    <row r="323" spans="1:18" ht="24.75" customHeight="1">
      <c r="A323" s="195"/>
      <c r="B323" s="182" t="s">
        <v>289</v>
      </c>
      <c r="C323" s="167"/>
      <c r="D323" s="139">
        <v>637.79999999999995</v>
      </c>
      <c r="E323" s="139"/>
      <c r="F323" s="139"/>
      <c r="G323" s="152">
        <f t="shared" si="43"/>
        <v>0</v>
      </c>
      <c r="H323" s="152"/>
      <c r="R323" s="133"/>
    </row>
    <row r="324" spans="1:18" ht="24.75" customHeight="1">
      <c r="A324" s="195"/>
      <c r="B324" s="169" t="s">
        <v>148</v>
      </c>
      <c r="C324" s="158"/>
      <c r="D324" s="139">
        <v>8.4</v>
      </c>
      <c r="E324" s="139"/>
      <c r="F324" s="139"/>
      <c r="G324" s="152">
        <f t="shared" si="43"/>
        <v>0</v>
      </c>
      <c r="H324" s="152"/>
      <c r="R324" s="133"/>
    </row>
    <row r="325" spans="1:18" ht="24.75" customHeight="1">
      <c r="A325" s="195"/>
      <c r="B325" s="169" t="s">
        <v>178</v>
      </c>
      <c r="C325" s="158"/>
      <c r="D325" s="139">
        <v>9.5</v>
      </c>
      <c r="E325" s="139"/>
      <c r="F325" s="139">
        <v>23.7</v>
      </c>
      <c r="G325" s="153">
        <f t="shared" si="43"/>
        <v>23.7</v>
      </c>
      <c r="H325" s="152"/>
      <c r="R325" s="133"/>
    </row>
    <row r="326" spans="1:18" ht="39.75" customHeight="1">
      <c r="A326" s="195"/>
      <c r="B326" s="169" t="s">
        <v>177</v>
      </c>
      <c r="C326" s="158"/>
      <c r="D326" s="139">
        <v>146.30000000000001</v>
      </c>
      <c r="E326" s="139"/>
      <c r="F326" s="139">
        <v>17.3</v>
      </c>
      <c r="G326" s="153">
        <f t="shared" si="43"/>
        <v>17.3</v>
      </c>
      <c r="H326" s="152"/>
      <c r="R326" s="133"/>
    </row>
    <row r="327" spans="1:18" ht="45" customHeight="1">
      <c r="A327" s="195"/>
      <c r="B327" s="169" t="s">
        <v>208</v>
      </c>
      <c r="C327" s="158"/>
      <c r="D327" s="139">
        <v>9.3000000000000007</v>
      </c>
      <c r="E327" s="139"/>
      <c r="F327" s="139">
        <v>6.2</v>
      </c>
      <c r="G327" s="153">
        <f t="shared" si="43"/>
        <v>6.2</v>
      </c>
      <c r="H327" s="152"/>
      <c r="R327" s="133"/>
    </row>
    <row r="328" spans="1:18" ht="21" customHeight="1">
      <c r="A328" s="195" t="s">
        <v>498</v>
      </c>
      <c r="B328" s="166" t="s">
        <v>4</v>
      </c>
      <c r="C328" s="157">
        <v>1014</v>
      </c>
      <c r="D328" s="140"/>
      <c r="E328" s="140"/>
      <c r="F328" s="140">
        <v>14</v>
      </c>
      <c r="G328" s="128">
        <f t="shared" si="43"/>
        <v>14</v>
      </c>
      <c r="H328" s="152"/>
      <c r="R328" s="133"/>
    </row>
    <row r="329" spans="1:18" ht="24.75" customHeight="1">
      <c r="A329" s="195" t="s">
        <v>488</v>
      </c>
      <c r="B329" s="158" t="s">
        <v>94</v>
      </c>
      <c r="C329" s="157">
        <v>1015</v>
      </c>
      <c r="D329" s="140">
        <f>SUM(D330:D335)</f>
        <v>209.2</v>
      </c>
      <c r="E329" s="140">
        <f>SUM(E330:E335)</f>
        <v>0</v>
      </c>
      <c r="F329" s="140">
        <f>SUM(F330:F335)</f>
        <v>6.6</v>
      </c>
      <c r="G329" s="128">
        <f t="shared" si="43"/>
        <v>6.6</v>
      </c>
      <c r="H329" s="152"/>
      <c r="R329" s="133"/>
    </row>
    <row r="330" spans="1:18" ht="24.75" customHeight="1">
      <c r="A330" s="217"/>
      <c r="B330" s="172" t="s">
        <v>157</v>
      </c>
      <c r="C330" s="158"/>
      <c r="D330" s="139">
        <v>46.6</v>
      </c>
      <c r="E330" s="139"/>
      <c r="F330" s="139"/>
      <c r="G330" s="152">
        <f t="shared" si="43"/>
        <v>0</v>
      </c>
      <c r="H330" s="152"/>
    </row>
    <row r="331" spans="1:18" ht="38.25" customHeight="1">
      <c r="A331" s="217"/>
      <c r="B331" s="169" t="s">
        <v>201</v>
      </c>
      <c r="C331" s="158"/>
      <c r="D331" s="139">
        <v>14.7</v>
      </c>
      <c r="E331" s="139"/>
      <c r="F331" s="139"/>
      <c r="G331" s="152">
        <f t="shared" si="43"/>
        <v>0</v>
      </c>
      <c r="H331" s="152"/>
    </row>
    <row r="332" spans="1:18" ht="24.75" customHeight="1">
      <c r="A332" s="217"/>
      <c r="B332" s="169" t="s">
        <v>210</v>
      </c>
      <c r="C332" s="158"/>
      <c r="D332" s="139"/>
      <c r="E332" s="139"/>
      <c r="F332" s="139">
        <v>4.8</v>
      </c>
      <c r="G332" s="153">
        <f t="shared" si="43"/>
        <v>4.8</v>
      </c>
      <c r="H332" s="152"/>
    </row>
    <row r="333" spans="1:18" ht="24.75" customHeight="1">
      <c r="A333" s="217"/>
      <c r="B333" s="169" t="s">
        <v>211</v>
      </c>
      <c r="C333" s="158"/>
      <c r="D333" s="139"/>
      <c r="E333" s="139"/>
      <c r="F333" s="139">
        <v>1.8</v>
      </c>
      <c r="G333" s="153">
        <f t="shared" si="43"/>
        <v>1.8</v>
      </c>
      <c r="H333" s="152"/>
    </row>
    <row r="334" spans="1:18" ht="24.75" customHeight="1">
      <c r="A334" s="217"/>
      <c r="B334" s="169" t="s">
        <v>185</v>
      </c>
      <c r="C334" s="158"/>
      <c r="D334" s="139">
        <v>37.200000000000003</v>
      </c>
      <c r="E334" s="139"/>
      <c r="F334" s="139"/>
      <c r="G334" s="153">
        <f t="shared" si="43"/>
        <v>0</v>
      </c>
      <c r="H334" s="152"/>
    </row>
    <row r="335" spans="1:18" ht="24.75" customHeight="1">
      <c r="A335" s="195"/>
      <c r="B335" s="227" t="s">
        <v>282</v>
      </c>
      <c r="C335" s="158"/>
      <c r="D335" s="139">
        <v>110.7</v>
      </c>
      <c r="E335" s="139"/>
      <c r="F335" s="139"/>
      <c r="G335" s="153">
        <f t="shared" si="43"/>
        <v>0</v>
      </c>
      <c r="H335" s="152"/>
    </row>
    <row r="336" spans="1:18" ht="24.75" customHeight="1">
      <c r="A336" s="162" t="s">
        <v>499</v>
      </c>
      <c r="B336" s="174" t="s">
        <v>88</v>
      </c>
      <c r="C336" s="164">
        <v>1020</v>
      </c>
      <c r="D336" s="141">
        <f>D337+D341</f>
        <v>25.2</v>
      </c>
      <c r="E336" s="141">
        <f>E337+E341</f>
        <v>0</v>
      </c>
      <c r="F336" s="141">
        <f>F337+F341</f>
        <v>19.399999999999999</v>
      </c>
      <c r="G336" s="152">
        <f t="shared" si="43"/>
        <v>19.399999999999999</v>
      </c>
      <c r="H336" s="152"/>
    </row>
    <row r="337" spans="1:18" ht="24.75" customHeight="1">
      <c r="A337" s="195" t="s">
        <v>500</v>
      </c>
      <c r="B337" s="180" t="s">
        <v>109</v>
      </c>
      <c r="C337" s="157">
        <v>1021</v>
      </c>
      <c r="D337" s="140">
        <f>D339</f>
        <v>5</v>
      </c>
      <c r="E337" s="140">
        <f t="shared" ref="E337" si="45">E339</f>
        <v>0</v>
      </c>
      <c r="F337" s="140">
        <f>SUM(F338:F340)</f>
        <v>6.2</v>
      </c>
      <c r="G337" s="128">
        <f t="shared" si="43"/>
        <v>6.2</v>
      </c>
      <c r="H337" s="152"/>
    </row>
    <row r="338" spans="1:18" ht="38.25" customHeight="1">
      <c r="A338" s="195"/>
      <c r="B338" s="169" t="s">
        <v>177</v>
      </c>
      <c r="C338" s="157"/>
      <c r="D338" s="139"/>
      <c r="E338" s="139"/>
      <c r="F338" s="139">
        <v>0.2</v>
      </c>
      <c r="G338" s="153">
        <f t="shared" si="43"/>
        <v>0.2</v>
      </c>
      <c r="H338" s="152"/>
    </row>
    <row r="339" spans="1:18" ht="24.75" customHeight="1">
      <c r="A339" s="195"/>
      <c r="B339" s="169" t="s">
        <v>207</v>
      </c>
      <c r="C339" s="157"/>
      <c r="D339" s="139">
        <v>5</v>
      </c>
      <c r="E339" s="139"/>
      <c r="F339" s="139"/>
      <c r="G339" s="152">
        <f t="shared" si="43"/>
        <v>0</v>
      </c>
      <c r="H339" s="152"/>
    </row>
    <row r="340" spans="1:18" ht="24.75" customHeight="1">
      <c r="A340" s="195"/>
      <c r="B340" s="169" t="s">
        <v>178</v>
      </c>
      <c r="C340" s="157"/>
      <c r="D340" s="139"/>
      <c r="E340" s="139"/>
      <c r="F340" s="139">
        <f>4.1+1.9</f>
        <v>6</v>
      </c>
      <c r="G340" s="153">
        <f t="shared" si="43"/>
        <v>6</v>
      </c>
      <c r="H340" s="152"/>
    </row>
    <row r="341" spans="1:18" ht="24.75" customHeight="1">
      <c r="A341" s="195" t="s">
        <v>501</v>
      </c>
      <c r="B341" s="191" t="s">
        <v>199</v>
      </c>
      <c r="C341" s="167">
        <v>1025</v>
      </c>
      <c r="D341" s="140">
        <f>SUM(D342:D351)</f>
        <v>20.2</v>
      </c>
      <c r="E341" s="140">
        <f>SUM(E342:E351)</f>
        <v>0</v>
      </c>
      <c r="F341" s="140">
        <f>SUM(F342:F351)</f>
        <v>13.2</v>
      </c>
      <c r="G341" s="128">
        <f t="shared" si="43"/>
        <v>13.2</v>
      </c>
      <c r="H341" s="152"/>
    </row>
    <row r="342" spans="1:18" ht="36" customHeight="1">
      <c r="A342" s="195"/>
      <c r="B342" s="169" t="s">
        <v>170</v>
      </c>
      <c r="C342" s="157"/>
      <c r="D342" s="139">
        <v>3.3</v>
      </c>
      <c r="E342" s="139"/>
      <c r="F342" s="139">
        <f>2.8</f>
        <v>2.8</v>
      </c>
      <c r="G342" s="153">
        <f t="shared" si="43"/>
        <v>2.8</v>
      </c>
      <c r="H342" s="152"/>
    </row>
    <row r="343" spans="1:18" ht="21.75" customHeight="1">
      <c r="A343" s="195"/>
      <c r="B343" s="169" t="s">
        <v>275</v>
      </c>
      <c r="C343" s="157"/>
      <c r="D343" s="139">
        <v>0.3</v>
      </c>
      <c r="E343" s="139"/>
      <c r="F343" s="139"/>
      <c r="G343" s="153">
        <f t="shared" si="43"/>
        <v>0</v>
      </c>
      <c r="H343" s="152"/>
    </row>
    <row r="344" spans="1:18" ht="24.75" customHeight="1">
      <c r="A344" s="195"/>
      <c r="B344" s="169" t="s">
        <v>216</v>
      </c>
      <c r="C344" s="157"/>
      <c r="D344" s="139">
        <v>0.4</v>
      </c>
      <c r="E344" s="139"/>
      <c r="F344" s="139">
        <v>0.4</v>
      </c>
      <c r="G344" s="153">
        <f t="shared" si="43"/>
        <v>0.4</v>
      </c>
      <c r="H344" s="152"/>
    </row>
    <row r="345" spans="1:18" ht="24.75" customHeight="1">
      <c r="A345" s="195"/>
      <c r="B345" s="169" t="s">
        <v>222</v>
      </c>
      <c r="C345" s="157"/>
      <c r="D345" s="139">
        <v>1.2</v>
      </c>
      <c r="E345" s="139"/>
      <c r="F345" s="139"/>
      <c r="G345" s="153">
        <f t="shared" si="43"/>
        <v>0</v>
      </c>
      <c r="H345" s="152"/>
    </row>
    <row r="346" spans="1:18" ht="24.75" customHeight="1">
      <c r="A346" s="195"/>
      <c r="B346" s="169" t="s">
        <v>215</v>
      </c>
      <c r="C346" s="157"/>
      <c r="D346" s="139">
        <v>7.8</v>
      </c>
      <c r="E346" s="139"/>
      <c r="F346" s="139"/>
      <c r="G346" s="153">
        <f t="shared" si="43"/>
        <v>0</v>
      </c>
      <c r="H346" s="152"/>
    </row>
    <row r="347" spans="1:18" ht="24.75" customHeight="1">
      <c r="A347" s="195"/>
      <c r="B347" s="169" t="s">
        <v>184</v>
      </c>
      <c r="C347" s="157"/>
      <c r="D347" s="139"/>
      <c r="E347" s="139"/>
      <c r="F347" s="139">
        <f>8+1.8</f>
        <v>9.8000000000000007</v>
      </c>
      <c r="G347" s="153">
        <f t="shared" si="43"/>
        <v>9.8000000000000007</v>
      </c>
      <c r="H347" s="152"/>
    </row>
    <row r="348" spans="1:18" ht="24.75" customHeight="1">
      <c r="A348" s="195"/>
      <c r="B348" s="208" t="s">
        <v>290</v>
      </c>
      <c r="C348" s="158"/>
      <c r="D348" s="139">
        <v>2.4</v>
      </c>
      <c r="E348" s="139"/>
      <c r="F348" s="139"/>
      <c r="G348" s="153">
        <f t="shared" si="43"/>
        <v>0</v>
      </c>
      <c r="H348" s="152"/>
    </row>
    <row r="349" spans="1:18" ht="24.75" customHeight="1">
      <c r="A349" s="195"/>
      <c r="B349" s="208" t="s">
        <v>214</v>
      </c>
      <c r="C349" s="158"/>
      <c r="D349" s="139">
        <v>2.5</v>
      </c>
      <c r="E349" s="139"/>
      <c r="F349" s="139"/>
      <c r="G349" s="153">
        <f t="shared" si="43"/>
        <v>0</v>
      </c>
      <c r="H349" s="152"/>
    </row>
    <row r="350" spans="1:18" ht="24.75" customHeight="1">
      <c r="A350" s="195"/>
      <c r="B350" s="208" t="s">
        <v>190</v>
      </c>
      <c r="C350" s="158"/>
      <c r="D350" s="139"/>
      <c r="E350" s="139"/>
      <c r="F350" s="139">
        <f>0.2</f>
        <v>0.2</v>
      </c>
      <c r="G350" s="153">
        <f t="shared" si="43"/>
        <v>0.2</v>
      </c>
      <c r="H350" s="152"/>
    </row>
    <row r="351" spans="1:18" ht="24.75" customHeight="1">
      <c r="A351" s="195"/>
      <c r="B351" s="208" t="s">
        <v>197</v>
      </c>
      <c r="C351" s="158"/>
      <c r="D351" s="139">
        <v>2.2999999999999998</v>
      </c>
      <c r="E351" s="139"/>
      <c r="F351" s="139"/>
      <c r="G351" s="152">
        <f t="shared" si="43"/>
        <v>0</v>
      </c>
      <c r="H351" s="152"/>
    </row>
    <row r="352" spans="1:18" ht="24.75" customHeight="1">
      <c r="A352" s="195" t="s">
        <v>489</v>
      </c>
      <c r="B352" s="191" t="s">
        <v>251</v>
      </c>
      <c r="C352" s="158"/>
      <c r="D352" s="140"/>
      <c r="E352" s="140">
        <f>E354+E357</f>
        <v>17.600000000000001</v>
      </c>
      <c r="F352" s="140">
        <f>F354+F357</f>
        <v>18.400000000000002</v>
      </c>
      <c r="G352" s="128">
        <f t="shared" si="43"/>
        <v>0.80000000000000071</v>
      </c>
      <c r="H352" s="128">
        <f t="shared" ref="H352:H356" si="46">(F352/E352)*100</f>
        <v>104.54545454545455</v>
      </c>
      <c r="R352" s="133"/>
    </row>
    <row r="353" spans="1:18" ht="24.75" customHeight="1">
      <c r="A353" s="217"/>
      <c r="B353" s="160" t="s">
        <v>82</v>
      </c>
      <c r="C353" s="218"/>
      <c r="D353" s="139"/>
      <c r="E353" s="139"/>
      <c r="F353" s="139"/>
      <c r="G353" s="152"/>
      <c r="H353" s="152"/>
      <c r="R353" s="133"/>
    </row>
    <row r="354" spans="1:18" ht="33.75" customHeight="1">
      <c r="A354" s="162" t="s">
        <v>490</v>
      </c>
      <c r="B354" s="177" t="s">
        <v>86</v>
      </c>
      <c r="C354" s="164">
        <v>1010</v>
      </c>
      <c r="D354" s="141"/>
      <c r="E354" s="141">
        <f>E355</f>
        <v>15.4</v>
      </c>
      <c r="F354" s="141">
        <f>F355</f>
        <v>16.8</v>
      </c>
      <c r="G354" s="152">
        <f t="shared" si="43"/>
        <v>1.4000000000000004</v>
      </c>
      <c r="H354" s="152">
        <f t="shared" si="46"/>
        <v>109.09090909090908</v>
      </c>
      <c r="R354" s="133"/>
    </row>
    <row r="355" spans="1:18" ht="24.75" customHeight="1">
      <c r="A355" s="195" t="s">
        <v>502</v>
      </c>
      <c r="B355" s="166" t="s">
        <v>94</v>
      </c>
      <c r="C355" s="157">
        <v>1015</v>
      </c>
      <c r="D355" s="139"/>
      <c r="E355" s="140">
        <f>E356</f>
        <v>15.4</v>
      </c>
      <c r="F355" s="140">
        <f>F356</f>
        <v>16.8</v>
      </c>
      <c r="G355" s="128">
        <f t="shared" si="43"/>
        <v>1.4000000000000004</v>
      </c>
      <c r="H355" s="128">
        <f t="shared" si="46"/>
        <v>109.09090909090908</v>
      </c>
      <c r="R355" s="133"/>
    </row>
    <row r="356" spans="1:18" ht="24.75" customHeight="1">
      <c r="A356" s="200"/>
      <c r="B356" s="169" t="s">
        <v>253</v>
      </c>
      <c r="C356" s="161"/>
      <c r="D356" s="139"/>
      <c r="E356" s="139">
        <v>15.4</v>
      </c>
      <c r="F356" s="139">
        <v>16.8</v>
      </c>
      <c r="G356" s="153">
        <f t="shared" si="43"/>
        <v>1.4000000000000004</v>
      </c>
      <c r="H356" s="153">
        <f t="shared" si="46"/>
        <v>109.09090909090908</v>
      </c>
      <c r="R356" s="133"/>
    </row>
    <row r="357" spans="1:18" ht="24.75" customHeight="1">
      <c r="A357" s="162" t="s">
        <v>491</v>
      </c>
      <c r="B357" s="174" t="s">
        <v>88</v>
      </c>
      <c r="C357" s="164">
        <v>1020</v>
      </c>
      <c r="D357" s="141"/>
      <c r="E357" s="141">
        <f>E358</f>
        <v>2.2000000000000002</v>
      </c>
      <c r="F357" s="141">
        <f>F358</f>
        <v>1.6</v>
      </c>
      <c r="G357" s="152">
        <f t="shared" ref="G357:G367" si="47">F357-E357</f>
        <v>-0.60000000000000009</v>
      </c>
      <c r="H357" s="152">
        <f t="shared" ref="H357:H359" si="48">(F357/E357)*100</f>
        <v>72.727272727272734</v>
      </c>
      <c r="R357" s="133"/>
    </row>
    <row r="358" spans="1:18" ht="24.75" customHeight="1">
      <c r="A358" s="195" t="s">
        <v>503</v>
      </c>
      <c r="B358" s="191" t="s">
        <v>199</v>
      </c>
      <c r="C358" s="167">
        <v>1025</v>
      </c>
      <c r="D358" s="140"/>
      <c r="E358" s="140">
        <f>E359</f>
        <v>2.2000000000000002</v>
      </c>
      <c r="F358" s="140">
        <f>F359</f>
        <v>1.6</v>
      </c>
      <c r="G358" s="128">
        <f t="shared" si="47"/>
        <v>-0.60000000000000009</v>
      </c>
      <c r="H358" s="128">
        <f t="shared" si="48"/>
        <v>72.727272727272734</v>
      </c>
      <c r="R358" s="133"/>
    </row>
    <row r="359" spans="1:18" ht="24.75" customHeight="1">
      <c r="A359" s="200"/>
      <c r="B359" s="169" t="s">
        <v>254</v>
      </c>
      <c r="C359" s="161"/>
      <c r="D359" s="139"/>
      <c r="E359" s="139">
        <v>2.2000000000000002</v>
      </c>
      <c r="F359" s="139">
        <v>1.6</v>
      </c>
      <c r="G359" s="153">
        <f t="shared" si="47"/>
        <v>-0.60000000000000009</v>
      </c>
      <c r="H359" s="153">
        <f t="shared" si="48"/>
        <v>72.727272727272734</v>
      </c>
      <c r="R359" s="133"/>
    </row>
    <row r="360" spans="1:18" ht="41.25" customHeight="1">
      <c r="A360" s="195" t="s">
        <v>504</v>
      </c>
      <c r="B360" s="198" t="s">
        <v>515</v>
      </c>
      <c r="C360" s="157"/>
      <c r="D360" s="140">
        <f>D361</f>
        <v>6.6</v>
      </c>
      <c r="E360" s="140"/>
      <c r="F360" s="140">
        <f>F361</f>
        <v>5.3</v>
      </c>
      <c r="G360" s="128">
        <f t="shared" si="47"/>
        <v>5.3</v>
      </c>
      <c r="H360" s="128"/>
      <c r="I360" s="134"/>
      <c r="R360" s="133"/>
    </row>
    <row r="361" spans="1:18" ht="24.75" customHeight="1">
      <c r="A361" s="162" t="s">
        <v>505</v>
      </c>
      <c r="B361" s="174" t="s">
        <v>89</v>
      </c>
      <c r="C361" s="164">
        <v>1030</v>
      </c>
      <c r="D361" s="141">
        <f>D362</f>
        <v>6.6</v>
      </c>
      <c r="E361" s="141"/>
      <c r="F361" s="141">
        <f>F362</f>
        <v>5.3</v>
      </c>
      <c r="G361" s="152">
        <f t="shared" si="47"/>
        <v>5.3</v>
      </c>
      <c r="H361" s="152"/>
      <c r="R361" s="133"/>
    </row>
    <row r="362" spans="1:18" ht="24.75" customHeight="1">
      <c r="A362" s="195" t="s">
        <v>506</v>
      </c>
      <c r="B362" s="194" t="s">
        <v>89</v>
      </c>
      <c r="C362" s="167">
        <v>1035</v>
      </c>
      <c r="D362" s="140">
        <f>D363</f>
        <v>6.6</v>
      </c>
      <c r="E362" s="140"/>
      <c r="F362" s="140">
        <f>F363</f>
        <v>5.3</v>
      </c>
      <c r="G362" s="128">
        <f t="shared" si="47"/>
        <v>5.3</v>
      </c>
      <c r="H362" s="152"/>
      <c r="R362" s="133"/>
    </row>
    <row r="363" spans="1:18" ht="24.75" customHeight="1">
      <c r="A363" s="208"/>
      <c r="B363" s="199" t="s">
        <v>291</v>
      </c>
      <c r="C363" s="159"/>
      <c r="D363" s="139">
        <v>6.6</v>
      </c>
      <c r="E363" s="139"/>
      <c r="F363" s="139">
        <v>5.3</v>
      </c>
      <c r="G363" s="152">
        <f t="shared" si="47"/>
        <v>5.3</v>
      </c>
      <c r="H363" s="152"/>
      <c r="R363" s="133"/>
    </row>
    <row r="364" spans="1:18" ht="24.75" customHeight="1">
      <c r="A364" s="195" t="s">
        <v>507</v>
      </c>
      <c r="B364" s="198" t="s">
        <v>256</v>
      </c>
      <c r="C364" s="167"/>
      <c r="D364" s="140">
        <f>D366</f>
        <v>638.70000000000005</v>
      </c>
      <c r="E364" s="140">
        <f t="shared" ref="E364" si="49">E366</f>
        <v>0</v>
      </c>
      <c r="F364" s="140">
        <f>SUM(F366,F369)</f>
        <v>1118.8</v>
      </c>
      <c r="G364" s="128">
        <f t="shared" si="47"/>
        <v>1118.8</v>
      </c>
      <c r="H364" s="128"/>
      <c r="I364" s="134"/>
      <c r="R364" s="133"/>
    </row>
    <row r="365" spans="1:18" ht="24.75" customHeight="1">
      <c r="A365" s="228"/>
      <c r="B365" s="160" t="s">
        <v>82</v>
      </c>
      <c r="C365" s="229"/>
      <c r="D365" s="139"/>
      <c r="E365" s="139"/>
      <c r="F365" s="139"/>
      <c r="G365" s="152"/>
      <c r="H365" s="152"/>
      <c r="R365" s="133"/>
    </row>
    <row r="366" spans="1:18" ht="37.5" customHeight="1">
      <c r="A366" s="230" t="s">
        <v>508</v>
      </c>
      <c r="B366" s="231" t="s">
        <v>86</v>
      </c>
      <c r="C366" s="193">
        <v>1010</v>
      </c>
      <c r="D366" s="141">
        <f>D367</f>
        <v>638.70000000000005</v>
      </c>
      <c r="E366" s="141"/>
      <c r="F366" s="141">
        <f>F367</f>
        <v>772.5</v>
      </c>
      <c r="G366" s="152">
        <f t="shared" si="47"/>
        <v>772.5</v>
      </c>
      <c r="H366" s="152"/>
      <c r="R366" s="133"/>
    </row>
    <row r="367" spans="1:18" ht="24.75" customHeight="1">
      <c r="A367" s="195" t="s">
        <v>509</v>
      </c>
      <c r="B367" s="198" t="s">
        <v>4</v>
      </c>
      <c r="C367" s="167">
        <v>1014</v>
      </c>
      <c r="D367" s="140">
        <f>D368</f>
        <v>638.70000000000005</v>
      </c>
      <c r="E367" s="140"/>
      <c r="F367" s="140">
        <v>772.5</v>
      </c>
      <c r="G367" s="128">
        <f t="shared" si="47"/>
        <v>772.5</v>
      </c>
      <c r="H367" s="152"/>
      <c r="R367" s="133"/>
    </row>
    <row r="368" spans="1:18" ht="24.75" customHeight="1">
      <c r="A368" s="195"/>
      <c r="B368" s="199" t="s">
        <v>257</v>
      </c>
      <c r="C368" s="167"/>
      <c r="D368" s="139">
        <v>638.70000000000005</v>
      </c>
      <c r="E368" s="139"/>
      <c r="F368" s="139">
        <v>772.5</v>
      </c>
      <c r="G368" s="153">
        <f>F368-E368</f>
        <v>772.5</v>
      </c>
      <c r="H368" s="152"/>
      <c r="R368" s="133"/>
    </row>
    <row r="369" spans="1:18" ht="24.75" customHeight="1">
      <c r="A369" s="162" t="s">
        <v>510</v>
      </c>
      <c r="B369" s="163" t="s">
        <v>88</v>
      </c>
      <c r="C369" s="193">
        <v>1020</v>
      </c>
      <c r="D369" s="141"/>
      <c r="E369" s="141"/>
      <c r="F369" s="141">
        <v>346.3</v>
      </c>
      <c r="G369" s="152">
        <f>F369-E369</f>
        <v>346.3</v>
      </c>
      <c r="H369" s="152"/>
      <c r="R369" s="133"/>
    </row>
    <row r="370" spans="1:18" ht="24.75" customHeight="1">
      <c r="A370" s="195" t="s">
        <v>511</v>
      </c>
      <c r="B370" s="198" t="s">
        <v>4</v>
      </c>
      <c r="C370" s="167">
        <v>1024</v>
      </c>
      <c r="D370" s="140"/>
      <c r="E370" s="140"/>
      <c r="F370" s="140">
        <v>346.3</v>
      </c>
      <c r="G370" s="128">
        <f>F370-E370</f>
        <v>346.3</v>
      </c>
      <c r="H370" s="152"/>
      <c r="R370" s="133"/>
    </row>
    <row r="371" spans="1:18" ht="24.75" customHeight="1">
      <c r="A371" s="57"/>
      <c r="B371" s="60" t="s">
        <v>257</v>
      </c>
      <c r="C371" s="64"/>
      <c r="D371" s="64"/>
      <c r="E371" s="64"/>
      <c r="F371" s="64">
        <v>346.3</v>
      </c>
      <c r="G371" s="128">
        <f>F371-E371</f>
        <v>346.3</v>
      </c>
      <c r="H371" s="64"/>
      <c r="R371" s="133"/>
    </row>
    <row r="372" spans="1:18" ht="44.25" customHeight="1">
      <c r="B372" s="65"/>
      <c r="D372" s="75"/>
      <c r="E372" s="66"/>
      <c r="F372" s="66"/>
      <c r="R372" s="133"/>
    </row>
    <row r="373" spans="1:18" ht="34.5" customHeight="1">
      <c r="B373" s="124" t="s">
        <v>364</v>
      </c>
      <c r="C373" s="300"/>
      <c r="D373" s="300"/>
      <c r="E373" s="255"/>
      <c r="F373" s="294" t="s">
        <v>517</v>
      </c>
      <c r="G373" s="294"/>
      <c r="H373" s="294"/>
      <c r="R373" s="133"/>
    </row>
    <row r="374" spans="1:18" ht="34.5" customHeight="1">
      <c r="B374" s="77" t="s">
        <v>60</v>
      </c>
      <c r="C374" s="295" t="s">
        <v>12</v>
      </c>
      <c r="D374" s="295"/>
      <c r="E374" s="30"/>
      <c r="F374" s="76"/>
      <c r="G374" s="299" t="s">
        <v>18</v>
      </c>
      <c r="H374" s="299"/>
      <c r="R374" s="133"/>
    </row>
    <row r="375" spans="1:18" ht="29.25" customHeight="1">
      <c r="B375" s="65"/>
      <c r="D375" s="75"/>
      <c r="E375" s="66"/>
      <c r="F375" s="66"/>
      <c r="R375" s="133"/>
    </row>
    <row r="376" spans="1:18" ht="35.25" customHeight="1">
      <c r="B376" s="65"/>
      <c r="D376" s="75"/>
      <c r="E376" s="66"/>
      <c r="F376" s="66"/>
      <c r="R376" s="133"/>
    </row>
    <row r="377" spans="1:18" ht="35.25" customHeight="1">
      <c r="B377" s="65"/>
      <c r="D377" s="75"/>
      <c r="E377" s="66"/>
      <c r="F377" s="66"/>
      <c r="R377" s="133"/>
    </row>
    <row r="378" spans="1:18" s="73" customFormat="1" ht="39" customHeight="1">
      <c r="A378" s="30"/>
      <c r="B378" s="65"/>
      <c r="C378" s="77"/>
      <c r="D378" s="75"/>
      <c r="E378" s="66"/>
      <c r="F378" s="66"/>
      <c r="G378" s="30"/>
      <c r="H378" s="30"/>
      <c r="R378" s="133"/>
    </row>
    <row r="379" spans="1:18" s="73" customFormat="1" ht="32.25" customHeight="1">
      <c r="A379" s="30"/>
      <c r="B379" s="65"/>
      <c r="C379" s="77"/>
      <c r="D379" s="75"/>
      <c r="E379" s="66"/>
      <c r="F379" s="66"/>
      <c r="G379" s="30"/>
      <c r="H379" s="30"/>
      <c r="R379" s="133"/>
    </row>
    <row r="380" spans="1:18" s="73" customFormat="1" ht="31.5" customHeight="1">
      <c r="A380" s="30"/>
      <c r="B380" s="65"/>
      <c r="C380" s="77"/>
      <c r="D380" s="75"/>
      <c r="E380" s="66"/>
      <c r="F380" s="66"/>
      <c r="G380" s="30"/>
      <c r="H380" s="30"/>
      <c r="R380" s="133"/>
    </row>
    <row r="381" spans="1:18" s="73" customFormat="1" ht="31.5" customHeight="1">
      <c r="A381" s="30"/>
      <c r="B381" s="65"/>
      <c r="C381" s="77"/>
      <c r="D381" s="75"/>
      <c r="E381" s="66"/>
      <c r="F381" s="66"/>
      <c r="G381" s="30"/>
      <c r="H381" s="30"/>
      <c r="R381" s="133"/>
    </row>
    <row r="382" spans="1:18" s="73" customFormat="1" ht="29.25" customHeight="1">
      <c r="A382" s="30"/>
      <c r="B382" s="65"/>
      <c r="C382" s="77"/>
      <c r="D382" s="75"/>
      <c r="E382" s="66"/>
      <c r="F382" s="66"/>
      <c r="G382" s="30"/>
      <c r="H382" s="30"/>
      <c r="R382" s="133"/>
    </row>
    <row r="383" spans="1:18" s="73" customFormat="1" ht="35.25" customHeight="1">
      <c r="A383" s="30"/>
      <c r="B383" s="65"/>
      <c r="C383" s="77"/>
      <c r="D383" s="75"/>
      <c r="E383" s="66"/>
      <c r="F383" s="66"/>
      <c r="G383" s="30"/>
      <c r="H383" s="30"/>
      <c r="R383" s="133"/>
    </row>
    <row r="384" spans="1:18" s="73" customFormat="1" ht="41.25" customHeight="1">
      <c r="A384" s="30"/>
      <c r="B384" s="65"/>
      <c r="C384" s="77"/>
      <c r="D384" s="75"/>
      <c r="E384" s="66"/>
      <c r="F384" s="66"/>
      <c r="G384" s="30"/>
      <c r="H384" s="30"/>
      <c r="R384" s="133"/>
    </row>
    <row r="385" spans="1:18" s="73" customFormat="1" ht="35.25" customHeight="1">
      <c r="A385" s="30"/>
      <c r="B385" s="65"/>
      <c r="C385" s="77"/>
      <c r="D385" s="75"/>
      <c r="E385" s="66"/>
      <c r="F385" s="66"/>
      <c r="G385" s="30"/>
      <c r="H385" s="30"/>
      <c r="R385" s="133"/>
    </row>
    <row r="386" spans="1:18" s="73" customFormat="1" ht="41.25" customHeight="1">
      <c r="A386" s="30"/>
      <c r="B386" s="65"/>
      <c r="C386" s="77"/>
      <c r="D386" s="75"/>
      <c r="E386" s="66"/>
      <c r="F386" s="66"/>
      <c r="G386" s="30"/>
      <c r="H386" s="30"/>
      <c r="R386" s="133"/>
    </row>
    <row r="387" spans="1:18" s="73" customFormat="1" ht="37.5" customHeight="1">
      <c r="A387" s="30"/>
      <c r="B387" s="65"/>
      <c r="C387" s="77"/>
      <c r="D387" s="75"/>
      <c r="E387" s="66"/>
      <c r="F387" s="66"/>
      <c r="G387" s="30"/>
      <c r="H387" s="30"/>
      <c r="R387" s="133"/>
    </row>
    <row r="388" spans="1:18" s="73" customFormat="1" ht="37.5" customHeight="1">
      <c r="A388" s="30"/>
      <c r="B388" s="65"/>
      <c r="C388" s="77"/>
      <c r="D388" s="75"/>
      <c r="E388" s="66"/>
      <c r="F388" s="66"/>
      <c r="G388" s="30"/>
      <c r="H388" s="30"/>
      <c r="R388" s="133"/>
    </row>
    <row r="389" spans="1:18" s="73" customFormat="1" ht="39" customHeight="1">
      <c r="A389" s="30"/>
      <c r="B389" s="65"/>
      <c r="C389" s="77"/>
      <c r="D389" s="75"/>
      <c r="E389" s="66"/>
      <c r="F389" s="66"/>
      <c r="G389" s="30"/>
      <c r="H389" s="30"/>
      <c r="R389" s="133"/>
    </row>
    <row r="390" spans="1:18" s="73" customFormat="1" ht="35.25" customHeight="1">
      <c r="A390" s="30"/>
      <c r="B390" s="65"/>
      <c r="C390" s="77"/>
      <c r="D390" s="75"/>
      <c r="E390" s="66"/>
      <c r="F390" s="66"/>
      <c r="G390" s="30"/>
      <c r="H390" s="30"/>
      <c r="R390" s="133"/>
    </row>
    <row r="391" spans="1:18" s="73" customFormat="1" ht="37.5" customHeight="1">
      <c r="A391" s="30"/>
      <c r="B391" s="65"/>
      <c r="C391" s="77"/>
      <c r="D391" s="75"/>
      <c r="E391" s="66"/>
      <c r="F391" s="66"/>
      <c r="G391" s="30"/>
      <c r="H391" s="30"/>
      <c r="R391" s="133"/>
    </row>
    <row r="392" spans="1:18" s="73" customFormat="1" ht="31.5" customHeight="1">
      <c r="A392" s="30"/>
      <c r="B392" s="65"/>
      <c r="C392" s="77"/>
      <c r="D392" s="75"/>
      <c r="E392" s="66"/>
      <c r="F392" s="66"/>
      <c r="G392" s="30"/>
      <c r="H392" s="30"/>
      <c r="R392" s="133"/>
    </row>
    <row r="393" spans="1:18" s="73" customFormat="1" ht="31.5" customHeight="1">
      <c r="A393" s="30"/>
      <c r="B393" s="65"/>
      <c r="C393" s="77"/>
      <c r="D393" s="75"/>
      <c r="E393" s="66"/>
      <c r="F393" s="66"/>
      <c r="G393" s="30"/>
      <c r="H393" s="30"/>
      <c r="R393" s="133"/>
    </row>
    <row r="394" spans="1:18">
      <c r="B394" s="65"/>
      <c r="D394" s="75"/>
      <c r="E394" s="66"/>
      <c r="F394" s="66"/>
      <c r="R394" s="133"/>
    </row>
    <row r="395" spans="1:18" ht="24.75" customHeight="1">
      <c r="B395" s="65"/>
      <c r="D395" s="75"/>
      <c r="E395" s="66"/>
      <c r="F395" s="66"/>
      <c r="R395" s="133"/>
    </row>
    <row r="396" spans="1:18">
      <c r="B396" s="65"/>
      <c r="D396" s="75"/>
      <c r="E396" s="66"/>
      <c r="F396" s="66"/>
      <c r="R396" s="133"/>
    </row>
    <row r="397" spans="1:18">
      <c r="B397" s="65"/>
      <c r="D397" s="75"/>
      <c r="E397" s="66"/>
      <c r="F397" s="66"/>
      <c r="R397" s="133"/>
    </row>
    <row r="398" spans="1:18">
      <c r="B398" s="65"/>
      <c r="D398" s="75"/>
      <c r="E398" s="66"/>
      <c r="F398" s="66"/>
      <c r="R398" s="133"/>
    </row>
    <row r="399" spans="1:18">
      <c r="B399" s="65"/>
      <c r="D399" s="75"/>
      <c r="E399" s="66"/>
      <c r="F399" s="66"/>
      <c r="R399" s="133"/>
    </row>
    <row r="400" spans="1:18">
      <c r="B400" s="65"/>
      <c r="D400" s="75"/>
      <c r="E400" s="66"/>
      <c r="F400" s="66"/>
      <c r="R400" s="133"/>
    </row>
    <row r="401" spans="2:18">
      <c r="B401" s="65"/>
      <c r="D401" s="75"/>
      <c r="E401" s="66"/>
      <c r="F401" s="66"/>
      <c r="R401" s="133"/>
    </row>
    <row r="402" spans="2:18">
      <c r="B402" s="65"/>
      <c r="D402" s="75"/>
      <c r="E402" s="66"/>
      <c r="F402" s="66"/>
      <c r="R402" s="133"/>
    </row>
    <row r="403" spans="2:18">
      <c r="B403" s="65"/>
      <c r="D403" s="75"/>
      <c r="E403" s="66"/>
      <c r="F403" s="66"/>
      <c r="R403" s="133"/>
    </row>
    <row r="404" spans="2:18">
      <c r="B404" s="65"/>
      <c r="D404" s="75"/>
      <c r="E404" s="66"/>
      <c r="F404" s="66"/>
      <c r="R404" s="133"/>
    </row>
    <row r="405" spans="2:18">
      <c r="B405" s="65"/>
      <c r="D405" s="75"/>
      <c r="E405" s="66"/>
      <c r="F405" s="66"/>
      <c r="R405" s="133"/>
    </row>
    <row r="406" spans="2:18">
      <c r="B406" s="65"/>
      <c r="D406" s="75"/>
      <c r="E406" s="66"/>
      <c r="F406" s="66"/>
      <c r="R406" s="133"/>
    </row>
    <row r="407" spans="2:18">
      <c r="B407" s="65"/>
      <c r="D407" s="75"/>
      <c r="E407" s="66"/>
      <c r="F407" s="66"/>
      <c r="R407" s="133"/>
    </row>
    <row r="408" spans="2:18">
      <c r="B408" s="65"/>
      <c r="D408" s="75"/>
      <c r="E408" s="66"/>
      <c r="F408" s="66"/>
      <c r="R408" s="133"/>
    </row>
    <row r="409" spans="2:18">
      <c r="B409" s="65"/>
      <c r="D409" s="75"/>
      <c r="E409" s="66"/>
      <c r="F409" s="66"/>
      <c r="R409" s="133"/>
    </row>
    <row r="410" spans="2:18">
      <c r="B410" s="65"/>
      <c r="D410" s="75"/>
      <c r="E410" s="66"/>
      <c r="F410" s="66"/>
      <c r="R410" s="133"/>
    </row>
    <row r="411" spans="2:18">
      <c r="B411" s="65"/>
      <c r="D411" s="75"/>
      <c r="E411" s="66"/>
      <c r="F411" s="66"/>
      <c r="R411" s="133"/>
    </row>
    <row r="412" spans="2:18">
      <c r="B412" s="65"/>
      <c r="D412" s="75"/>
      <c r="E412" s="66"/>
      <c r="F412" s="66"/>
      <c r="R412" s="133"/>
    </row>
    <row r="413" spans="2:18">
      <c r="B413" s="65"/>
      <c r="D413" s="75"/>
      <c r="E413" s="66"/>
      <c r="F413" s="66"/>
      <c r="R413" s="133"/>
    </row>
    <row r="414" spans="2:18">
      <c r="B414" s="65"/>
      <c r="D414" s="75"/>
      <c r="E414" s="66"/>
      <c r="F414" s="66"/>
      <c r="R414" s="133"/>
    </row>
    <row r="415" spans="2:18">
      <c r="B415" s="65"/>
      <c r="D415" s="75"/>
      <c r="E415" s="66"/>
      <c r="F415" s="66"/>
      <c r="R415" s="133"/>
    </row>
    <row r="416" spans="2:18">
      <c r="B416" s="65"/>
      <c r="D416" s="75"/>
      <c r="E416" s="66"/>
      <c r="F416" s="66"/>
      <c r="R416" s="133"/>
    </row>
    <row r="417" spans="2:18">
      <c r="B417" s="65"/>
      <c r="D417" s="75"/>
      <c r="E417" s="66"/>
      <c r="F417" s="66"/>
      <c r="R417" s="133"/>
    </row>
    <row r="418" spans="2:18">
      <c r="B418" s="65"/>
      <c r="D418" s="75"/>
      <c r="E418" s="66"/>
      <c r="F418" s="66"/>
      <c r="R418" s="133"/>
    </row>
    <row r="419" spans="2:18">
      <c r="B419" s="65"/>
      <c r="D419" s="75"/>
      <c r="E419" s="66"/>
      <c r="F419" s="66"/>
      <c r="R419" s="133"/>
    </row>
    <row r="420" spans="2:18">
      <c r="B420" s="65"/>
      <c r="D420" s="75"/>
      <c r="E420" s="66"/>
      <c r="F420" s="66"/>
      <c r="R420" s="133"/>
    </row>
    <row r="421" spans="2:18">
      <c r="B421" s="65"/>
      <c r="D421" s="75"/>
      <c r="E421" s="66"/>
      <c r="F421" s="66"/>
      <c r="R421" s="133"/>
    </row>
    <row r="422" spans="2:18">
      <c r="B422" s="65"/>
      <c r="D422" s="75"/>
      <c r="E422" s="66"/>
      <c r="F422" s="66"/>
      <c r="R422" s="133"/>
    </row>
    <row r="423" spans="2:18">
      <c r="B423" s="65"/>
      <c r="D423" s="75"/>
      <c r="E423" s="66"/>
      <c r="F423" s="66"/>
    </row>
    <row r="424" spans="2:18">
      <c r="B424" s="65"/>
      <c r="D424" s="75"/>
      <c r="E424" s="66"/>
      <c r="F424" s="66"/>
    </row>
    <row r="425" spans="2:18">
      <c r="B425" s="65"/>
      <c r="D425" s="75"/>
      <c r="E425" s="66"/>
      <c r="F425" s="66"/>
    </row>
    <row r="426" spans="2:18">
      <c r="B426" s="65"/>
      <c r="D426" s="75"/>
      <c r="E426" s="66"/>
      <c r="F426" s="66"/>
    </row>
    <row r="427" spans="2:18">
      <c r="B427" s="65"/>
      <c r="D427" s="75"/>
      <c r="E427" s="66"/>
      <c r="F427" s="66"/>
    </row>
    <row r="428" spans="2:18">
      <c r="B428" s="65"/>
      <c r="D428" s="75"/>
      <c r="E428" s="66"/>
      <c r="F428" s="66"/>
    </row>
    <row r="429" spans="2:18">
      <c r="B429" s="65"/>
    </row>
    <row r="430" spans="2:18">
      <c r="B430" s="74"/>
    </row>
    <row r="431" spans="2:18">
      <c r="B431" s="74"/>
    </row>
    <row r="432" spans="2:18">
      <c r="B432" s="74"/>
    </row>
    <row r="433" spans="2:18">
      <c r="B433" s="74"/>
    </row>
    <row r="434" spans="2:18">
      <c r="B434" s="74"/>
    </row>
    <row r="435" spans="2:18">
      <c r="B435" s="74"/>
    </row>
    <row r="436" spans="2:18">
      <c r="B436" s="74"/>
    </row>
    <row r="437" spans="2:18">
      <c r="B437" s="74"/>
      <c r="R437" s="133">
        <f>SUM('[36]Розшифровка 2 до формування'!H413:I413)</f>
        <v>0</v>
      </c>
    </row>
    <row r="438" spans="2:18">
      <c r="B438" s="74"/>
    </row>
    <row r="439" spans="2:18">
      <c r="B439" s="74"/>
    </row>
    <row r="440" spans="2:18">
      <c r="B440" s="74"/>
    </row>
    <row r="441" spans="2:18">
      <c r="B441" s="74"/>
    </row>
    <row r="442" spans="2:18">
      <c r="B442" s="74"/>
    </row>
    <row r="443" spans="2:18">
      <c r="B443" s="74"/>
    </row>
    <row r="444" spans="2:18">
      <c r="B444" s="74"/>
    </row>
    <row r="445" spans="2:18">
      <c r="B445" s="74"/>
    </row>
    <row r="446" spans="2:18">
      <c r="B446" s="74"/>
    </row>
    <row r="447" spans="2:18">
      <c r="B447" s="74"/>
    </row>
    <row r="448" spans="2:18">
      <c r="B448" s="74"/>
    </row>
    <row r="449" spans="2:18">
      <c r="B449" s="74"/>
      <c r="R449" s="133"/>
    </row>
    <row r="450" spans="2:18">
      <c r="B450" s="74"/>
      <c r="R450" s="133"/>
    </row>
    <row r="451" spans="2:18">
      <c r="B451" s="74"/>
      <c r="R451" s="133"/>
    </row>
    <row r="452" spans="2:18">
      <c r="B452" s="74"/>
      <c r="R452" s="133"/>
    </row>
    <row r="453" spans="2:18">
      <c r="B453" s="74"/>
      <c r="R453" s="133"/>
    </row>
    <row r="454" spans="2:18">
      <c r="B454" s="74"/>
      <c r="R454" s="133"/>
    </row>
    <row r="455" spans="2:18">
      <c r="B455" s="74"/>
      <c r="R455" s="133"/>
    </row>
    <row r="456" spans="2:18">
      <c r="B456" s="74"/>
      <c r="R456" s="133"/>
    </row>
    <row r="457" spans="2:18">
      <c r="B457" s="74"/>
      <c r="R457" s="133">
        <f>SUM('[36]Розшифровка 2 до формування'!H433:I433)</f>
        <v>0</v>
      </c>
    </row>
    <row r="458" spans="2:18">
      <c r="B458" s="74"/>
      <c r="R458" s="133">
        <f>SUM('[36]Розшифровка 2 до формування'!H434:I434)</f>
        <v>0</v>
      </c>
    </row>
    <row r="459" spans="2:18">
      <c r="B459" s="74"/>
      <c r="R459" s="133">
        <f>SUM('[36]Розшифровка 2 до формування'!H435:I435)</f>
        <v>0</v>
      </c>
    </row>
    <row r="460" spans="2:18">
      <c r="B460" s="74"/>
      <c r="R460" s="133">
        <f>SUM('[36]Розшифровка 2 до формування'!H436:I436)</f>
        <v>0</v>
      </c>
    </row>
    <row r="461" spans="2:18">
      <c r="B461" s="74"/>
      <c r="R461" s="133">
        <f>SUM('[36]Розшифровка 2 до формування'!H437:I437)</f>
        <v>0</v>
      </c>
    </row>
    <row r="462" spans="2:18">
      <c r="B462" s="74"/>
      <c r="R462" s="133">
        <f>SUM('[36]Розшифровка 2 до формування'!H438:I438)</f>
        <v>0</v>
      </c>
    </row>
    <row r="463" spans="2:18">
      <c r="B463" s="74"/>
    </row>
    <row r="464" spans="2:18">
      <c r="B464" s="74"/>
    </row>
    <row r="465" spans="2:2">
      <c r="B465" s="74"/>
    </row>
    <row r="466" spans="2:2">
      <c r="B466" s="74"/>
    </row>
    <row r="467" spans="2:2">
      <c r="B467" s="74"/>
    </row>
    <row r="468" spans="2:2">
      <c r="B468" s="74"/>
    </row>
    <row r="469" spans="2:2">
      <c r="B469" s="74"/>
    </row>
    <row r="470" spans="2:2">
      <c r="B470" s="74"/>
    </row>
    <row r="471" spans="2:2">
      <c r="B471" s="74"/>
    </row>
    <row r="472" spans="2:2">
      <c r="B472" s="74"/>
    </row>
    <row r="473" spans="2:2">
      <c r="B473" s="74"/>
    </row>
    <row r="474" spans="2:2">
      <c r="B474" s="74"/>
    </row>
    <row r="475" spans="2:2">
      <c r="B475" s="74"/>
    </row>
    <row r="476" spans="2:2">
      <c r="B476" s="74"/>
    </row>
    <row r="477" spans="2:2">
      <c r="B477" s="74"/>
    </row>
    <row r="478" spans="2:2">
      <c r="B478" s="74"/>
    </row>
    <row r="479" spans="2:2">
      <c r="B479" s="74"/>
    </row>
    <row r="480" spans="2:2">
      <c r="B480" s="74"/>
    </row>
    <row r="481" spans="2:2">
      <c r="B481" s="74"/>
    </row>
    <row r="482" spans="2:2">
      <c r="B482" s="74"/>
    </row>
    <row r="483" spans="2:2">
      <c r="B483" s="74"/>
    </row>
    <row r="484" spans="2:2">
      <c r="B484" s="74"/>
    </row>
    <row r="485" spans="2:2">
      <c r="B485" s="74"/>
    </row>
    <row r="486" spans="2:2">
      <c r="B486" s="74"/>
    </row>
    <row r="487" spans="2:2">
      <c r="B487" s="74"/>
    </row>
    <row r="488" spans="2:2">
      <c r="B488" s="74"/>
    </row>
    <row r="489" spans="2:2">
      <c r="B489" s="74"/>
    </row>
    <row r="490" spans="2:2">
      <c r="B490" s="74"/>
    </row>
    <row r="491" spans="2:2">
      <c r="B491" s="74"/>
    </row>
    <row r="492" spans="2:2">
      <c r="B492" s="74"/>
    </row>
    <row r="493" spans="2:2">
      <c r="B493" s="74"/>
    </row>
    <row r="494" spans="2:2">
      <c r="B494" s="74"/>
    </row>
    <row r="495" spans="2:2">
      <c r="B495" s="74"/>
    </row>
    <row r="496" spans="2:2">
      <c r="B496" s="74"/>
    </row>
    <row r="497" spans="2:2">
      <c r="B497" s="74"/>
    </row>
    <row r="498" spans="2:2">
      <c r="B498" s="74"/>
    </row>
    <row r="499" spans="2:2">
      <c r="B499" s="74"/>
    </row>
    <row r="500" spans="2:2">
      <c r="B500" s="74"/>
    </row>
    <row r="501" spans="2:2">
      <c r="B501" s="74"/>
    </row>
    <row r="502" spans="2:2">
      <c r="B502" s="74"/>
    </row>
    <row r="503" spans="2:2">
      <c r="B503" s="74"/>
    </row>
    <row r="504" spans="2:2">
      <c r="B504" s="74"/>
    </row>
    <row r="505" spans="2:2">
      <c r="B505" s="74"/>
    </row>
    <row r="506" spans="2:2">
      <c r="B506" s="74"/>
    </row>
    <row r="507" spans="2:2">
      <c r="B507" s="74"/>
    </row>
    <row r="508" spans="2:2">
      <c r="B508" s="74"/>
    </row>
    <row r="509" spans="2:2">
      <c r="B509" s="74"/>
    </row>
    <row r="510" spans="2:2">
      <c r="B510" s="74"/>
    </row>
    <row r="511" spans="2:2">
      <c r="B511" s="74"/>
    </row>
    <row r="512" spans="2:2">
      <c r="B512" s="74"/>
    </row>
    <row r="513" spans="2:2">
      <c r="B513" s="74"/>
    </row>
    <row r="514" spans="2:2">
      <c r="B514" s="74"/>
    </row>
    <row r="515" spans="2:2">
      <c r="B515" s="74"/>
    </row>
    <row r="516" spans="2:2">
      <c r="B516" s="74"/>
    </row>
    <row r="517" spans="2:2">
      <c r="B517" s="74"/>
    </row>
    <row r="518" spans="2:2">
      <c r="B518" s="74"/>
    </row>
    <row r="519" spans="2:2">
      <c r="B519" s="74"/>
    </row>
    <row r="520" spans="2:2">
      <c r="B520" s="74"/>
    </row>
    <row r="521" spans="2:2">
      <c r="B521" s="74"/>
    </row>
    <row r="522" spans="2:2">
      <c r="B522" s="74"/>
    </row>
    <row r="523" spans="2:2">
      <c r="B523" s="74"/>
    </row>
    <row r="524" spans="2:2">
      <c r="B524" s="74"/>
    </row>
    <row r="525" spans="2:2">
      <c r="B525" s="74"/>
    </row>
    <row r="526" spans="2:2">
      <c r="B526" s="74"/>
    </row>
    <row r="527" spans="2:2">
      <c r="B527" s="74"/>
    </row>
    <row r="528" spans="2:2">
      <c r="B528" s="74"/>
    </row>
    <row r="529" spans="2:2">
      <c r="B529" s="74"/>
    </row>
    <row r="530" spans="2:2">
      <c r="B530" s="74"/>
    </row>
    <row r="531" spans="2:2">
      <c r="B531" s="74"/>
    </row>
    <row r="532" spans="2:2">
      <c r="B532" s="74"/>
    </row>
    <row r="533" spans="2:2">
      <c r="B533" s="74"/>
    </row>
    <row r="534" spans="2:2">
      <c r="B534" s="74"/>
    </row>
    <row r="535" spans="2:2">
      <c r="B535" s="74"/>
    </row>
    <row r="536" spans="2:2">
      <c r="B536" s="74"/>
    </row>
    <row r="537" spans="2:2">
      <c r="B537" s="74"/>
    </row>
    <row r="538" spans="2:2">
      <c r="B538" s="74"/>
    </row>
    <row r="539" spans="2:2">
      <c r="B539" s="74"/>
    </row>
    <row r="540" spans="2:2">
      <c r="B540" s="74"/>
    </row>
    <row r="541" spans="2:2">
      <c r="B541" s="74"/>
    </row>
    <row r="542" spans="2:2">
      <c r="B542" s="74"/>
    </row>
    <row r="543" spans="2:2">
      <c r="B543" s="74"/>
    </row>
    <row r="544" spans="2:2">
      <c r="B544" s="74"/>
    </row>
    <row r="545" spans="2:2">
      <c r="B545" s="74"/>
    </row>
    <row r="546" spans="2:2">
      <c r="B546" s="74"/>
    </row>
    <row r="547" spans="2:2">
      <c r="B547" s="74"/>
    </row>
    <row r="548" spans="2:2">
      <c r="B548" s="74"/>
    </row>
    <row r="549" spans="2:2">
      <c r="B549" s="74"/>
    </row>
    <row r="550" spans="2:2">
      <c r="B550" s="74"/>
    </row>
    <row r="551" spans="2:2">
      <c r="B551" s="74"/>
    </row>
    <row r="552" spans="2:2">
      <c r="B552" s="74"/>
    </row>
    <row r="553" spans="2:2">
      <c r="B553" s="74"/>
    </row>
    <row r="554" spans="2:2">
      <c r="B554" s="74"/>
    </row>
    <row r="555" spans="2:2">
      <c r="B555" s="74"/>
    </row>
    <row r="556" spans="2:2">
      <c r="B556" s="74"/>
    </row>
    <row r="557" spans="2:2">
      <c r="B557" s="74"/>
    </row>
    <row r="558" spans="2:2">
      <c r="B558" s="74"/>
    </row>
    <row r="559" spans="2:2">
      <c r="B559" s="74"/>
    </row>
    <row r="560" spans="2:2">
      <c r="B560" s="74"/>
    </row>
    <row r="561" spans="2:2">
      <c r="B561" s="74"/>
    </row>
    <row r="562" spans="2:2">
      <c r="B562" s="74"/>
    </row>
    <row r="563" spans="2:2">
      <c r="B563" s="74"/>
    </row>
    <row r="564" spans="2:2">
      <c r="B564" s="74"/>
    </row>
    <row r="565" spans="2:2">
      <c r="B565" s="74"/>
    </row>
    <row r="566" spans="2:2">
      <c r="B566" s="74"/>
    </row>
    <row r="567" spans="2:2">
      <c r="B567" s="74"/>
    </row>
    <row r="568" spans="2:2">
      <c r="B568" s="74"/>
    </row>
    <row r="569" spans="2:2">
      <c r="B569" s="74"/>
    </row>
    <row r="570" spans="2:2">
      <c r="B570" s="74"/>
    </row>
    <row r="571" spans="2:2">
      <c r="B571" s="74"/>
    </row>
    <row r="572" spans="2:2">
      <c r="B572" s="74"/>
    </row>
    <row r="573" spans="2:2">
      <c r="B573" s="74"/>
    </row>
    <row r="574" spans="2:2">
      <c r="B574" s="74"/>
    </row>
    <row r="575" spans="2:2">
      <c r="B575" s="74"/>
    </row>
    <row r="576" spans="2:2">
      <c r="B576" s="74"/>
    </row>
    <row r="577" spans="2:2">
      <c r="B577" s="74"/>
    </row>
    <row r="578" spans="2:2">
      <c r="B578" s="74"/>
    </row>
    <row r="579" spans="2:2">
      <c r="B579" s="74"/>
    </row>
    <row r="580" spans="2:2">
      <c r="B580" s="74"/>
    </row>
    <row r="581" spans="2:2">
      <c r="B581" s="74"/>
    </row>
    <row r="582" spans="2:2">
      <c r="B582" s="74"/>
    </row>
    <row r="583" spans="2:2">
      <c r="B583" s="74"/>
    </row>
    <row r="584" spans="2:2">
      <c r="B584" s="74"/>
    </row>
    <row r="585" spans="2:2">
      <c r="B585" s="74"/>
    </row>
    <row r="586" spans="2:2">
      <c r="B586" s="74"/>
    </row>
    <row r="587" spans="2:2">
      <c r="B587" s="74"/>
    </row>
    <row r="588" spans="2:2">
      <c r="B588" s="74"/>
    </row>
    <row r="589" spans="2:2">
      <c r="B589" s="74"/>
    </row>
    <row r="590" spans="2:2">
      <c r="B590" s="74"/>
    </row>
    <row r="591" spans="2:2">
      <c r="B591" s="74"/>
    </row>
    <row r="592" spans="2:2">
      <c r="B592" s="74"/>
    </row>
    <row r="593" spans="2:2">
      <c r="B593" s="74"/>
    </row>
    <row r="594" spans="2:2">
      <c r="B594" s="74"/>
    </row>
    <row r="595" spans="2:2">
      <c r="B595" s="74"/>
    </row>
    <row r="596" spans="2:2">
      <c r="B596" s="74"/>
    </row>
  </sheetData>
  <mergeCells count="9">
    <mergeCell ref="W6:W7"/>
    <mergeCell ref="X6:X7"/>
    <mergeCell ref="B2:H2"/>
    <mergeCell ref="A6:B6"/>
    <mergeCell ref="G374:H374"/>
    <mergeCell ref="V6:V7"/>
    <mergeCell ref="F373:H373"/>
    <mergeCell ref="C373:D373"/>
    <mergeCell ref="C374:D374"/>
  </mergeCells>
  <pageMargins left="0.70866141732283472" right="0.70866141732283472" top="0.74803149606299213" bottom="0.55118110236220474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G319"/>
  <sheetViews>
    <sheetView view="pageBreakPreview" topLeftCell="A43" zoomScale="70" zoomScaleNormal="100" zoomScaleSheetLayoutView="70" workbookViewId="0">
      <selection activeCell="F70" sqref="F70"/>
    </sheetView>
  </sheetViews>
  <sheetFormatPr defaultRowHeight="18.75"/>
  <cols>
    <col min="1" max="1" width="60.28515625" style="30" customWidth="1"/>
    <col min="2" max="2" width="12" style="80" customWidth="1"/>
    <col min="3" max="3" width="16.140625" style="80" customWidth="1"/>
    <col min="4" max="4" width="16.7109375" style="80" customWidth="1"/>
    <col min="5" max="5" width="16.140625" style="80" customWidth="1"/>
    <col min="6" max="6" width="16" style="80" customWidth="1"/>
    <col min="7" max="7" width="16.42578125" style="30" customWidth="1"/>
    <col min="8" max="16384" width="9.140625" style="30"/>
  </cols>
  <sheetData>
    <row r="1" spans="1:7" ht="27.75" customHeight="1">
      <c r="A1" s="288" t="s">
        <v>100</v>
      </c>
      <c r="B1" s="288"/>
      <c r="C1" s="288"/>
      <c r="D1" s="288"/>
      <c r="E1" s="288"/>
      <c r="F1" s="288"/>
    </row>
    <row r="2" spans="1:7" ht="19.5" customHeight="1">
      <c r="A2" s="67"/>
      <c r="B2" s="68"/>
      <c r="C2" s="67"/>
      <c r="D2" s="67"/>
      <c r="E2" s="67"/>
      <c r="F2" s="68"/>
      <c r="G2" s="82" t="s">
        <v>65</v>
      </c>
    </row>
    <row r="3" spans="1:7" ht="64.5" customHeight="1">
      <c r="A3" s="69" t="s">
        <v>24</v>
      </c>
      <c r="B3" s="70" t="s">
        <v>5</v>
      </c>
      <c r="C3" s="61" t="s">
        <v>144</v>
      </c>
      <c r="D3" s="70" t="s">
        <v>142</v>
      </c>
      <c r="E3" s="70" t="s">
        <v>143</v>
      </c>
      <c r="F3" s="83" t="s">
        <v>120</v>
      </c>
      <c r="G3" s="84" t="s">
        <v>121</v>
      </c>
    </row>
    <row r="4" spans="1:7" ht="24" customHeight="1">
      <c r="A4" s="71">
        <v>1</v>
      </c>
      <c r="B4" s="61">
        <v>2</v>
      </c>
      <c r="C4" s="61">
        <v>3</v>
      </c>
      <c r="D4" s="61">
        <v>4</v>
      </c>
      <c r="E4" s="61">
        <v>5</v>
      </c>
      <c r="F4" s="61">
        <v>6</v>
      </c>
      <c r="G4" s="71">
        <v>7</v>
      </c>
    </row>
    <row r="5" spans="1:7" ht="37.5" customHeight="1">
      <c r="A5" s="59" t="s">
        <v>14</v>
      </c>
      <c r="B5" s="53">
        <v>4000</v>
      </c>
      <c r="C5" s="27">
        <f>SUM(C6,C39,C93)</f>
        <v>5282.9</v>
      </c>
      <c r="D5" s="27">
        <f>SUM(D6,D39,D93)</f>
        <v>0</v>
      </c>
      <c r="E5" s="27">
        <f>SUM(E6,E39,E93)</f>
        <v>592</v>
      </c>
      <c r="F5" s="27">
        <f>E5-D5</f>
        <v>592</v>
      </c>
      <c r="G5" s="85"/>
    </row>
    <row r="6" spans="1:7" ht="27.75" customHeight="1">
      <c r="A6" s="130" t="s">
        <v>0</v>
      </c>
      <c r="B6" s="132">
        <v>4020</v>
      </c>
      <c r="C6" s="86">
        <f>SUM(C7:C38)</f>
        <v>3384.2000000000003</v>
      </c>
      <c r="D6" s="156">
        <f>SUM(D7:D26)</f>
        <v>0</v>
      </c>
      <c r="E6" s="86">
        <f>SUM(E7:E38)</f>
        <v>428.2</v>
      </c>
      <c r="F6" s="86">
        <f t="shared" ref="F6:F94" si="0">E6-D6</f>
        <v>428.2</v>
      </c>
      <c r="G6" s="129"/>
    </row>
    <row r="7" spans="1:7" ht="42.75" customHeight="1">
      <c r="A7" s="60" t="s">
        <v>292</v>
      </c>
      <c r="B7" s="81"/>
      <c r="C7" s="28">
        <v>429.4</v>
      </c>
      <c r="D7" s="28"/>
      <c r="E7" s="28"/>
      <c r="F7" s="28">
        <f t="shared" si="0"/>
        <v>0</v>
      </c>
      <c r="G7" s="85"/>
    </row>
    <row r="8" spans="1:7" ht="24" customHeight="1">
      <c r="A8" s="87" t="s">
        <v>293</v>
      </c>
      <c r="B8" s="81"/>
      <c r="C8" s="63">
        <v>18</v>
      </c>
      <c r="D8" s="63"/>
      <c r="E8" s="28"/>
      <c r="F8" s="28">
        <f t="shared" si="0"/>
        <v>0</v>
      </c>
      <c r="G8" s="85"/>
    </row>
    <row r="9" spans="1:7" ht="24" customHeight="1">
      <c r="A9" s="87" t="s">
        <v>294</v>
      </c>
      <c r="B9" s="81"/>
      <c r="C9" s="28">
        <v>8.4</v>
      </c>
      <c r="D9" s="28"/>
      <c r="E9" s="28"/>
      <c r="F9" s="28">
        <f t="shared" si="0"/>
        <v>0</v>
      </c>
      <c r="G9" s="85"/>
    </row>
    <row r="10" spans="1:7" ht="24" customHeight="1">
      <c r="A10" s="87" t="s">
        <v>295</v>
      </c>
      <c r="B10" s="81"/>
      <c r="C10" s="28">
        <v>15.8</v>
      </c>
      <c r="D10" s="28"/>
      <c r="E10" s="28"/>
      <c r="F10" s="28">
        <f t="shared" si="0"/>
        <v>0</v>
      </c>
      <c r="G10" s="85"/>
    </row>
    <row r="11" spans="1:7" ht="33.75" customHeight="1">
      <c r="A11" s="87" t="s">
        <v>296</v>
      </c>
      <c r="B11" s="81"/>
      <c r="C11" s="63">
        <v>38.799999999999997</v>
      </c>
      <c r="D11" s="63"/>
      <c r="E11" s="28"/>
      <c r="F11" s="28">
        <f t="shared" si="0"/>
        <v>0</v>
      </c>
      <c r="G11" s="85"/>
    </row>
    <row r="12" spans="1:7" ht="36.75" customHeight="1">
      <c r="A12" s="87" t="s">
        <v>296</v>
      </c>
      <c r="B12" s="81"/>
      <c r="C12" s="63">
        <v>36.4</v>
      </c>
      <c r="D12" s="63"/>
      <c r="E12" s="28"/>
      <c r="F12" s="28">
        <f t="shared" si="0"/>
        <v>0</v>
      </c>
      <c r="G12" s="85"/>
    </row>
    <row r="13" spans="1:7" ht="27.75" customHeight="1">
      <c r="A13" s="87" t="s">
        <v>297</v>
      </c>
      <c r="B13" s="81"/>
      <c r="C13" s="28">
        <v>72.8</v>
      </c>
      <c r="D13" s="28"/>
      <c r="E13" s="28"/>
      <c r="F13" s="28">
        <f t="shared" si="0"/>
        <v>0</v>
      </c>
      <c r="G13" s="85"/>
    </row>
    <row r="14" spans="1:7" ht="35.25" customHeight="1">
      <c r="A14" s="88" t="s">
        <v>298</v>
      </c>
      <c r="B14" s="81"/>
      <c r="C14" s="28">
        <v>49</v>
      </c>
      <c r="D14" s="28"/>
      <c r="E14" s="28"/>
      <c r="F14" s="28">
        <f t="shared" si="0"/>
        <v>0</v>
      </c>
      <c r="G14" s="85"/>
    </row>
    <row r="15" spans="1:7" ht="24.75" customHeight="1">
      <c r="A15" s="88" t="s">
        <v>299</v>
      </c>
      <c r="B15" s="81"/>
      <c r="C15" s="28">
        <v>40.799999999999997</v>
      </c>
      <c r="D15" s="28"/>
      <c r="E15" s="28"/>
      <c r="F15" s="28">
        <f t="shared" si="0"/>
        <v>0</v>
      </c>
      <c r="G15" s="85"/>
    </row>
    <row r="16" spans="1:7" ht="25.5" customHeight="1">
      <c r="A16" s="88" t="s">
        <v>300</v>
      </c>
      <c r="B16" s="81"/>
      <c r="C16" s="28">
        <v>604.70000000000005</v>
      </c>
      <c r="D16" s="28"/>
      <c r="E16" s="28"/>
      <c r="F16" s="28">
        <f t="shared" si="0"/>
        <v>0</v>
      </c>
      <c r="G16" s="85"/>
    </row>
    <row r="17" spans="1:7" ht="22.5" customHeight="1">
      <c r="A17" s="54" t="s">
        <v>301</v>
      </c>
      <c r="B17" s="81"/>
      <c r="C17" s="28">
        <v>189.9</v>
      </c>
      <c r="D17" s="28"/>
      <c r="E17" s="28"/>
      <c r="F17" s="28">
        <f t="shared" si="0"/>
        <v>0</v>
      </c>
      <c r="G17" s="85"/>
    </row>
    <row r="18" spans="1:7" ht="27.75" customHeight="1">
      <c r="A18" s="88" t="s">
        <v>302</v>
      </c>
      <c r="B18" s="81"/>
      <c r="C18" s="28">
        <v>175.7</v>
      </c>
      <c r="D18" s="28"/>
      <c r="E18" s="28"/>
      <c r="F18" s="28">
        <f t="shared" si="0"/>
        <v>0</v>
      </c>
      <c r="G18" s="85"/>
    </row>
    <row r="19" spans="1:7" ht="27.75" customHeight="1">
      <c r="A19" s="88" t="s">
        <v>303</v>
      </c>
      <c r="B19" s="81"/>
      <c r="C19" s="28">
        <v>80.8</v>
      </c>
      <c r="D19" s="28"/>
      <c r="E19" s="28"/>
      <c r="F19" s="28">
        <f t="shared" si="0"/>
        <v>0</v>
      </c>
      <c r="G19" s="85"/>
    </row>
    <row r="20" spans="1:7" ht="25.5" customHeight="1">
      <c r="A20" s="88" t="s">
        <v>310</v>
      </c>
      <c r="B20" s="81"/>
      <c r="C20" s="28"/>
      <c r="D20" s="28"/>
      <c r="E20" s="28">
        <v>103.7</v>
      </c>
      <c r="F20" s="28">
        <f t="shared" si="0"/>
        <v>103.7</v>
      </c>
      <c r="G20" s="85"/>
    </row>
    <row r="21" spans="1:7" ht="27" customHeight="1">
      <c r="A21" s="54" t="s">
        <v>304</v>
      </c>
      <c r="B21" s="81"/>
      <c r="C21" s="28">
        <v>67.900000000000006</v>
      </c>
      <c r="D21" s="28"/>
      <c r="E21" s="28"/>
      <c r="F21" s="28">
        <f t="shared" si="0"/>
        <v>0</v>
      </c>
      <c r="G21" s="85"/>
    </row>
    <row r="22" spans="1:7" ht="22.5" customHeight="1">
      <c r="A22" s="54" t="s">
        <v>305</v>
      </c>
      <c r="B22" s="81"/>
      <c r="C22" s="28">
        <v>59.9</v>
      </c>
      <c r="D22" s="28"/>
      <c r="E22" s="28"/>
      <c r="F22" s="28">
        <f t="shared" si="0"/>
        <v>0</v>
      </c>
      <c r="G22" s="85"/>
    </row>
    <row r="23" spans="1:7" ht="21.75" customHeight="1">
      <c r="A23" s="54" t="s">
        <v>306</v>
      </c>
      <c r="B23" s="81"/>
      <c r="C23" s="28">
        <v>118.4</v>
      </c>
      <c r="D23" s="28"/>
      <c r="E23" s="28"/>
      <c r="F23" s="28">
        <f t="shared" si="0"/>
        <v>0</v>
      </c>
      <c r="G23" s="85"/>
    </row>
    <row r="24" spans="1:7" ht="24.75" customHeight="1">
      <c r="A24" s="54" t="s">
        <v>307</v>
      </c>
      <c r="B24" s="81"/>
      <c r="C24" s="28">
        <v>1348.6</v>
      </c>
      <c r="D24" s="28"/>
      <c r="E24" s="28"/>
      <c r="F24" s="28">
        <f t="shared" si="0"/>
        <v>0</v>
      </c>
      <c r="G24" s="85"/>
    </row>
    <row r="25" spans="1:7" ht="23.25" customHeight="1">
      <c r="A25" s="54" t="s">
        <v>308</v>
      </c>
      <c r="B25" s="81"/>
      <c r="C25" s="28">
        <v>20.6</v>
      </c>
      <c r="D25" s="28"/>
      <c r="E25" s="28"/>
      <c r="F25" s="28">
        <f t="shared" si="0"/>
        <v>0</v>
      </c>
      <c r="G25" s="85"/>
    </row>
    <row r="26" spans="1:7" ht="23.25" customHeight="1">
      <c r="A26" s="54" t="s">
        <v>309</v>
      </c>
      <c r="B26" s="81"/>
      <c r="C26" s="28">
        <v>8.3000000000000007</v>
      </c>
      <c r="D26" s="28"/>
      <c r="E26" s="28"/>
      <c r="F26" s="28">
        <f t="shared" si="0"/>
        <v>0</v>
      </c>
      <c r="G26" s="85"/>
    </row>
    <row r="27" spans="1:7" ht="40.5" customHeight="1">
      <c r="A27" s="60" t="s">
        <v>390</v>
      </c>
      <c r="B27" s="81"/>
      <c r="C27" s="28"/>
      <c r="D27" s="28"/>
      <c r="E27" s="28">
        <v>64.400000000000006</v>
      </c>
      <c r="F27" s="28">
        <f t="shared" si="0"/>
        <v>64.400000000000006</v>
      </c>
      <c r="G27" s="85"/>
    </row>
    <row r="28" spans="1:7" ht="27.75" customHeight="1">
      <c r="A28" s="60" t="s">
        <v>391</v>
      </c>
      <c r="B28" s="81"/>
      <c r="C28" s="28"/>
      <c r="D28" s="28"/>
      <c r="E28" s="28">
        <v>22</v>
      </c>
      <c r="F28" s="28">
        <f t="shared" si="0"/>
        <v>22</v>
      </c>
      <c r="G28" s="85"/>
    </row>
    <row r="29" spans="1:7" ht="22.5" customHeight="1">
      <c r="A29" s="60" t="s">
        <v>392</v>
      </c>
      <c r="B29" s="81"/>
      <c r="C29" s="28"/>
      <c r="D29" s="28"/>
      <c r="E29" s="28">
        <v>6.4</v>
      </c>
      <c r="F29" s="28">
        <f t="shared" si="0"/>
        <v>6.4</v>
      </c>
      <c r="G29" s="85"/>
    </row>
    <row r="30" spans="1:7" ht="21" customHeight="1">
      <c r="A30" s="60" t="s">
        <v>393</v>
      </c>
      <c r="B30" s="81"/>
      <c r="C30" s="28"/>
      <c r="D30" s="28"/>
      <c r="E30" s="28">
        <v>7.2</v>
      </c>
      <c r="F30" s="28">
        <f t="shared" si="0"/>
        <v>7.2</v>
      </c>
      <c r="G30" s="85"/>
    </row>
    <row r="31" spans="1:7" ht="24.75" customHeight="1">
      <c r="A31" s="60" t="s">
        <v>394</v>
      </c>
      <c r="B31" s="81"/>
      <c r="C31" s="28"/>
      <c r="D31" s="28"/>
      <c r="E31" s="28">
        <v>8.1</v>
      </c>
      <c r="F31" s="28">
        <f t="shared" si="0"/>
        <v>8.1</v>
      </c>
      <c r="G31" s="85"/>
    </row>
    <row r="32" spans="1:7" ht="23.25" customHeight="1">
      <c r="A32" s="60" t="s">
        <v>395</v>
      </c>
      <c r="B32" s="81"/>
      <c r="C32" s="28"/>
      <c r="D32" s="28"/>
      <c r="E32" s="28">
        <v>78.7</v>
      </c>
      <c r="F32" s="28">
        <f t="shared" si="0"/>
        <v>78.7</v>
      </c>
      <c r="G32" s="85"/>
    </row>
    <row r="33" spans="1:7" ht="39" customHeight="1">
      <c r="A33" s="60" t="s">
        <v>396</v>
      </c>
      <c r="B33" s="81"/>
      <c r="C33" s="28"/>
      <c r="D33" s="28"/>
      <c r="E33" s="28">
        <v>16.600000000000001</v>
      </c>
      <c r="F33" s="28">
        <f t="shared" si="0"/>
        <v>16.600000000000001</v>
      </c>
      <c r="G33" s="85"/>
    </row>
    <row r="34" spans="1:7" ht="23.25" customHeight="1">
      <c r="A34" s="60" t="s">
        <v>311</v>
      </c>
      <c r="B34" s="81"/>
      <c r="C34" s="28"/>
      <c r="D34" s="28"/>
      <c r="E34" s="28">
        <v>6</v>
      </c>
      <c r="F34" s="28">
        <f t="shared" si="0"/>
        <v>6</v>
      </c>
      <c r="G34" s="85"/>
    </row>
    <row r="35" spans="1:7" ht="22.5" customHeight="1">
      <c r="A35" s="60" t="s">
        <v>397</v>
      </c>
      <c r="B35" s="81"/>
      <c r="C35" s="28"/>
      <c r="D35" s="28"/>
      <c r="E35" s="28">
        <v>26.2</v>
      </c>
      <c r="F35" s="28">
        <f t="shared" si="0"/>
        <v>26.2</v>
      </c>
      <c r="G35" s="85"/>
    </row>
    <row r="36" spans="1:7" ht="23.25" customHeight="1">
      <c r="A36" s="60" t="s">
        <v>312</v>
      </c>
      <c r="B36" s="81"/>
      <c r="C36" s="28"/>
      <c r="D36" s="28"/>
      <c r="E36" s="28">
        <v>42.8</v>
      </c>
      <c r="F36" s="28">
        <f t="shared" si="0"/>
        <v>42.8</v>
      </c>
      <c r="G36" s="85"/>
    </row>
    <row r="37" spans="1:7" ht="39" customHeight="1">
      <c r="A37" s="60" t="s">
        <v>398</v>
      </c>
      <c r="B37" s="81"/>
      <c r="C37" s="28"/>
      <c r="D37" s="28"/>
      <c r="E37" s="28">
        <v>28.2</v>
      </c>
      <c r="F37" s="28">
        <f t="shared" si="0"/>
        <v>28.2</v>
      </c>
      <c r="G37" s="85"/>
    </row>
    <row r="38" spans="1:7" ht="27.75" customHeight="1">
      <c r="A38" s="60" t="s">
        <v>399</v>
      </c>
      <c r="B38" s="81"/>
      <c r="C38" s="28"/>
      <c r="D38" s="28"/>
      <c r="E38" s="28">
        <v>17.899999999999999</v>
      </c>
      <c r="F38" s="28">
        <f t="shared" si="0"/>
        <v>17.899999999999999</v>
      </c>
      <c r="G38" s="85"/>
    </row>
    <row r="39" spans="1:7" s="73" customFormat="1" ht="38.25" customHeight="1">
      <c r="A39" s="130" t="s">
        <v>7</v>
      </c>
      <c r="B39" s="131">
        <v>4030</v>
      </c>
      <c r="C39" s="86">
        <f>SUM(C40:C92)</f>
        <v>348.7</v>
      </c>
      <c r="D39" s="86">
        <f t="shared" ref="D39" si="1">SUM(D40:D92)</f>
        <v>0</v>
      </c>
      <c r="E39" s="86">
        <f>SUM(E40:E92)</f>
        <v>163.79999999999995</v>
      </c>
      <c r="F39" s="86">
        <f t="shared" si="0"/>
        <v>163.79999999999995</v>
      </c>
      <c r="G39" s="85"/>
    </row>
    <row r="40" spans="1:7" s="73" customFormat="1" ht="54.75" customHeight="1">
      <c r="A40" s="47" t="s">
        <v>313</v>
      </c>
      <c r="B40" s="89"/>
      <c r="C40" s="28">
        <v>258.89999999999998</v>
      </c>
      <c r="D40" s="28"/>
      <c r="E40" s="28"/>
      <c r="F40" s="28">
        <f t="shared" si="0"/>
        <v>0</v>
      </c>
      <c r="G40" s="85"/>
    </row>
    <row r="41" spans="1:7" s="73" customFormat="1" ht="24.75" customHeight="1">
      <c r="A41" s="47" t="s">
        <v>181</v>
      </c>
      <c r="B41" s="89"/>
      <c r="C41" s="28"/>
      <c r="D41" s="28"/>
      <c r="E41" s="28"/>
      <c r="F41" s="28">
        <f t="shared" si="0"/>
        <v>0</v>
      </c>
      <c r="G41" s="85"/>
    </row>
    <row r="42" spans="1:7" s="73" customFormat="1" ht="21" customHeight="1">
      <c r="A42" s="52" t="s">
        <v>314</v>
      </c>
      <c r="B42" s="89"/>
      <c r="C42" s="28">
        <v>2</v>
      </c>
      <c r="D42" s="28"/>
      <c r="E42" s="28"/>
      <c r="F42" s="28">
        <f t="shared" si="0"/>
        <v>0</v>
      </c>
      <c r="G42" s="85"/>
    </row>
    <row r="43" spans="1:7" s="73" customFormat="1" ht="27" customHeight="1">
      <c r="A43" s="52" t="s">
        <v>315</v>
      </c>
      <c r="B43" s="89"/>
      <c r="C43" s="28">
        <v>1.5</v>
      </c>
      <c r="D43" s="28"/>
      <c r="E43" s="28"/>
      <c r="F43" s="28">
        <f t="shared" si="0"/>
        <v>0</v>
      </c>
      <c r="G43" s="85"/>
    </row>
    <row r="44" spans="1:7" s="73" customFormat="1" ht="27" customHeight="1">
      <c r="A44" s="52" t="s">
        <v>316</v>
      </c>
      <c r="B44" s="89"/>
      <c r="C44" s="28">
        <v>4.5</v>
      </c>
      <c r="D44" s="28"/>
      <c r="E44" s="28"/>
      <c r="F44" s="28">
        <f t="shared" si="0"/>
        <v>0</v>
      </c>
      <c r="G44" s="85"/>
    </row>
    <row r="45" spans="1:7" s="73" customFormat="1" ht="22.5" customHeight="1">
      <c r="A45" s="52" t="s">
        <v>317</v>
      </c>
      <c r="B45" s="89"/>
      <c r="C45" s="28">
        <v>6.6</v>
      </c>
      <c r="D45" s="28"/>
      <c r="E45" s="28"/>
      <c r="F45" s="28">
        <f t="shared" si="0"/>
        <v>0</v>
      </c>
      <c r="G45" s="85"/>
    </row>
    <row r="46" spans="1:7" s="73" customFormat="1" ht="23.25" customHeight="1">
      <c r="A46" s="52" t="s">
        <v>318</v>
      </c>
      <c r="B46" s="89"/>
      <c r="C46" s="28">
        <v>4.4000000000000004</v>
      </c>
      <c r="D46" s="28"/>
      <c r="E46" s="28"/>
      <c r="F46" s="28">
        <f t="shared" si="0"/>
        <v>0</v>
      </c>
      <c r="G46" s="85"/>
    </row>
    <row r="47" spans="1:7" s="73" customFormat="1" ht="26.25" customHeight="1">
      <c r="A47" s="52" t="s">
        <v>319</v>
      </c>
      <c r="B47" s="89"/>
      <c r="C47" s="28">
        <v>4.2</v>
      </c>
      <c r="D47" s="28"/>
      <c r="E47" s="28"/>
      <c r="F47" s="28">
        <f t="shared" si="0"/>
        <v>0</v>
      </c>
      <c r="G47" s="85"/>
    </row>
    <row r="48" spans="1:7" s="73" customFormat="1" ht="21.75" customHeight="1">
      <c r="A48" s="52" t="s">
        <v>320</v>
      </c>
      <c r="B48" s="89"/>
      <c r="C48" s="28">
        <v>12.4</v>
      </c>
      <c r="D48" s="28"/>
      <c r="E48" s="28"/>
      <c r="F48" s="28">
        <f t="shared" si="0"/>
        <v>0</v>
      </c>
      <c r="G48" s="85"/>
    </row>
    <row r="49" spans="1:7" s="73" customFormat="1" ht="24.75" customHeight="1">
      <c r="A49" s="52" t="s">
        <v>321</v>
      </c>
      <c r="B49" s="89"/>
      <c r="C49" s="28">
        <v>2</v>
      </c>
      <c r="D49" s="28"/>
      <c r="E49" s="28"/>
      <c r="F49" s="28">
        <f t="shared" si="0"/>
        <v>0</v>
      </c>
      <c r="G49" s="85"/>
    </row>
    <row r="50" spans="1:7" s="73" customFormat="1" ht="27" customHeight="1">
      <c r="A50" s="52" t="s">
        <v>322</v>
      </c>
      <c r="B50" s="89"/>
      <c r="C50" s="28">
        <v>37.299999999999997</v>
      </c>
      <c r="D50" s="28"/>
      <c r="E50" s="28"/>
      <c r="F50" s="28">
        <f t="shared" si="0"/>
        <v>0</v>
      </c>
      <c r="G50" s="85"/>
    </row>
    <row r="51" spans="1:7" s="73" customFormat="1" ht="26.25" customHeight="1">
      <c r="A51" s="52" t="s">
        <v>323</v>
      </c>
      <c r="B51" s="89"/>
      <c r="C51" s="28">
        <v>7.6</v>
      </c>
      <c r="D51" s="28"/>
      <c r="E51" s="28"/>
      <c r="F51" s="28">
        <f t="shared" si="0"/>
        <v>0</v>
      </c>
      <c r="G51" s="85"/>
    </row>
    <row r="52" spans="1:7" s="73" customFormat="1" ht="25.5" customHeight="1">
      <c r="A52" s="52" t="s">
        <v>324</v>
      </c>
      <c r="B52" s="89"/>
      <c r="C52" s="28">
        <v>1.1000000000000001</v>
      </c>
      <c r="D52" s="28"/>
      <c r="E52" s="28"/>
      <c r="F52" s="28">
        <f t="shared" si="0"/>
        <v>0</v>
      </c>
      <c r="G52" s="85"/>
    </row>
    <row r="53" spans="1:7" s="73" customFormat="1" ht="38.25" customHeight="1">
      <c r="A53" s="51" t="s">
        <v>325</v>
      </c>
      <c r="B53" s="89"/>
      <c r="C53" s="28">
        <v>0.6</v>
      </c>
      <c r="D53" s="28"/>
      <c r="E53" s="28"/>
      <c r="F53" s="28">
        <f t="shared" si="0"/>
        <v>0</v>
      </c>
      <c r="G53" s="85"/>
    </row>
    <row r="54" spans="1:7" s="73" customFormat="1" ht="29.25" customHeight="1">
      <c r="A54" s="51" t="s">
        <v>326</v>
      </c>
      <c r="B54" s="89"/>
      <c r="C54" s="28">
        <v>1.4</v>
      </c>
      <c r="D54" s="28"/>
      <c r="E54" s="28"/>
      <c r="F54" s="28">
        <f t="shared" si="0"/>
        <v>0</v>
      </c>
      <c r="G54" s="85"/>
    </row>
    <row r="55" spans="1:7" s="73" customFormat="1" ht="23.25" customHeight="1">
      <c r="A55" s="51" t="s">
        <v>327</v>
      </c>
      <c r="B55" s="89"/>
      <c r="C55" s="28">
        <v>4.2</v>
      </c>
      <c r="D55" s="28"/>
      <c r="E55" s="28"/>
      <c r="F55" s="28">
        <f t="shared" si="0"/>
        <v>0</v>
      </c>
      <c r="G55" s="85"/>
    </row>
    <row r="56" spans="1:7" s="73" customFormat="1" ht="38.25" customHeight="1">
      <c r="A56" s="60" t="s">
        <v>400</v>
      </c>
      <c r="B56" s="89"/>
      <c r="C56" s="28"/>
      <c r="D56" s="28"/>
      <c r="E56" s="28">
        <v>5.8</v>
      </c>
      <c r="F56" s="28">
        <f t="shared" si="0"/>
        <v>5.8</v>
      </c>
      <c r="G56" s="85"/>
    </row>
    <row r="57" spans="1:7" s="73" customFormat="1" ht="38.25" customHeight="1">
      <c r="A57" s="60" t="s">
        <v>401</v>
      </c>
      <c r="B57" s="89"/>
      <c r="C57" s="28"/>
      <c r="D57" s="28"/>
      <c r="E57" s="28">
        <v>0.4</v>
      </c>
      <c r="F57" s="28">
        <f t="shared" si="0"/>
        <v>0.4</v>
      </c>
      <c r="G57" s="85"/>
    </row>
    <row r="58" spans="1:7" s="73" customFormat="1" ht="27" customHeight="1">
      <c r="A58" s="60" t="s">
        <v>402</v>
      </c>
      <c r="B58" s="89"/>
      <c r="C58" s="28"/>
      <c r="D58" s="28"/>
      <c r="E58" s="28">
        <v>5.2</v>
      </c>
      <c r="F58" s="28">
        <f t="shared" si="0"/>
        <v>5.2</v>
      </c>
      <c r="G58" s="85"/>
    </row>
    <row r="59" spans="1:7" s="73" customFormat="1" ht="38.25" customHeight="1">
      <c r="A59" s="60" t="s">
        <v>403</v>
      </c>
      <c r="B59" s="89"/>
      <c r="C59" s="28"/>
      <c r="D59" s="28"/>
      <c r="E59" s="28">
        <v>0.7</v>
      </c>
      <c r="F59" s="28">
        <f t="shared" si="0"/>
        <v>0.7</v>
      </c>
      <c r="G59" s="85"/>
    </row>
    <row r="60" spans="1:7" s="73" customFormat="1" ht="24.75" customHeight="1">
      <c r="A60" s="60" t="s">
        <v>404</v>
      </c>
      <c r="B60" s="89"/>
      <c r="C60" s="28"/>
      <c r="D60" s="28"/>
      <c r="E60" s="28">
        <v>5</v>
      </c>
      <c r="F60" s="28">
        <f t="shared" si="0"/>
        <v>5</v>
      </c>
      <c r="G60" s="85"/>
    </row>
    <row r="61" spans="1:7" s="73" customFormat="1" ht="23.25" customHeight="1">
      <c r="A61" s="60" t="s">
        <v>405</v>
      </c>
      <c r="B61" s="89"/>
      <c r="C61" s="28"/>
      <c r="D61" s="28"/>
      <c r="E61" s="28">
        <v>25.2</v>
      </c>
      <c r="F61" s="28">
        <f t="shared" si="0"/>
        <v>25.2</v>
      </c>
      <c r="G61" s="85"/>
    </row>
    <row r="62" spans="1:7" s="73" customFormat="1" ht="27" customHeight="1">
      <c r="A62" s="60" t="s">
        <v>406</v>
      </c>
      <c r="B62" s="89"/>
      <c r="C62" s="28"/>
      <c r="D62" s="28"/>
      <c r="E62" s="28">
        <v>16.8</v>
      </c>
      <c r="F62" s="28">
        <f t="shared" si="0"/>
        <v>16.8</v>
      </c>
      <c r="G62" s="85"/>
    </row>
    <row r="63" spans="1:7" s="73" customFormat="1" ht="22.5" customHeight="1">
      <c r="A63" s="60" t="s">
        <v>407</v>
      </c>
      <c r="B63" s="89"/>
      <c r="C63" s="28"/>
      <c r="D63" s="28"/>
      <c r="E63" s="28">
        <v>1.3</v>
      </c>
      <c r="F63" s="28">
        <f t="shared" si="0"/>
        <v>1.3</v>
      </c>
      <c r="G63" s="85"/>
    </row>
    <row r="64" spans="1:7" s="73" customFormat="1" ht="22.5" customHeight="1">
      <c r="A64" s="60" t="s">
        <v>408</v>
      </c>
      <c r="B64" s="89"/>
      <c r="C64" s="28"/>
      <c r="D64" s="28"/>
      <c r="E64" s="28">
        <v>4.9000000000000004</v>
      </c>
      <c r="F64" s="28">
        <f t="shared" si="0"/>
        <v>4.9000000000000004</v>
      </c>
      <c r="G64" s="85"/>
    </row>
    <row r="65" spans="1:7" s="73" customFormat="1" ht="21.75" customHeight="1">
      <c r="A65" s="60" t="s">
        <v>409</v>
      </c>
      <c r="B65" s="89"/>
      <c r="C65" s="28"/>
      <c r="D65" s="28"/>
      <c r="E65" s="28">
        <v>2.2999999999999998</v>
      </c>
      <c r="F65" s="28">
        <f t="shared" si="0"/>
        <v>2.2999999999999998</v>
      </c>
      <c r="G65" s="85"/>
    </row>
    <row r="66" spans="1:7" s="73" customFormat="1" ht="24.75" customHeight="1">
      <c r="A66" s="60" t="s">
        <v>410</v>
      </c>
      <c r="B66" s="89"/>
      <c r="C66" s="28"/>
      <c r="D66" s="28"/>
      <c r="E66" s="28">
        <v>0.4</v>
      </c>
      <c r="F66" s="28">
        <f t="shared" si="0"/>
        <v>0.4</v>
      </c>
      <c r="G66" s="85"/>
    </row>
    <row r="67" spans="1:7" s="73" customFormat="1" ht="21" customHeight="1">
      <c r="A67" s="60" t="s">
        <v>411</v>
      </c>
      <c r="B67" s="89"/>
      <c r="C67" s="28"/>
      <c r="D67" s="28"/>
      <c r="E67" s="28">
        <v>2.9</v>
      </c>
      <c r="F67" s="28">
        <f t="shared" si="0"/>
        <v>2.9</v>
      </c>
      <c r="G67" s="85"/>
    </row>
    <row r="68" spans="1:7" s="73" customFormat="1" ht="38.25" customHeight="1">
      <c r="A68" s="60" t="s">
        <v>412</v>
      </c>
      <c r="B68" s="89"/>
      <c r="C68" s="28"/>
      <c r="D68" s="28"/>
      <c r="E68" s="28">
        <v>4.8</v>
      </c>
      <c r="F68" s="28">
        <f t="shared" si="0"/>
        <v>4.8</v>
      </c>
      <c r="G68" s="85"/>
    </row>
    <row r="69" spans="1:7" s="73" customFormat="1" ht="27" customHeight="1">
      <c r="A69" s="60" t="s">
        <v>413</v>
      </c>
      <c r="B69" s="89"/>
      <c r="C69" s="28"/>
      <c r="D69" s="28"/>
      <c r="E69" s="28">
        <v>6.2</v>
      </c>
      <c r="F69" s="28">
        <f t="shared" si="0"/>
        <v>6.2</v>
      </c>
      <c r="G69" s="85"/>
    </row>
    <row r="70" spans="1:7" s="73" customFormat="1" ht="21" customHeight="1">
      <c r="A70" s="60" t="s">
        <v>414</v>
      </c>
      <c r="B70" s="89"/>
      <c r="C70" s="28"/>
      <c r="D70" s="28"/>
      <c r="E70" s="28">
        <v>1.5</v>
      </c>
      <c r="F70" s="28">
        <f t="shared" si="0"/>
        <v>1.5</v>
      </c>
      <c r="G70" s="85"/>
    </row>
    <row r="71" spans="1:7" s="73" customFormat="1" ht="26.25" customHeight="1">
      <c r="A71" s="60" t="s">
        <v>416</v>
      </c>
      <c r="B71" s="89"/>
      <c r="C71" s="28"/>
      <c r="D71" s="28"/>
      <c r="E71" s="28">
        <v>9.9</v>
      </c>
      <c r="F71" s="28">
        <f t="shared" si="0"/>
        <v>9.9</v>
      </c>
      <c r="G71" s="85"/>
    </row>
    <row r="72" spans="1:7" s="73" customFormat="1" ht="25.5" customHeight="1">
      <c r="A72" s="60" t="s">
        <v>417</v>
      </c>
      <c r="B72" s="89"/>
      <c r="C72" s="28"/>
      <c r="D72" s="28"/>
      <c r="E72" s="28">
        <v>4.5</v>
      </c>
      <c r="F72" s="28">
        <f t="shared" si="0"/>
        <v>4.5</v>
      </c>
      <c r="G72" s="85"/>
    </row>
    <row r="73" spans="1:7" s="73" customFormat="1" ht="21.75" customHeight="1">
      <c r="A73" s="60" t="s">
        <v>418</v>
      </c>
      <c r="B73" s="89"/>
      <c r="C73" s="28"/>
      <c r="D73" s="28"/>
      <c r="E73" s="28">
        <v>3.1</v>
      </c>
      <c r="F73" s="28">
        <f t="shared" si="0"/>
        <v>3.1</v>
      </c>
      <c r="G73" s="85"/>
    </row>
    <row r="74" spans="1:7" s="73" customFormat="1" ht="22.5" customHeight="1">
      <c r="A74" s="60" t="s">
        <v>419</v>
      </c>
      <c r="B74" s="89"/>
      <c r="C74" s="28"/>
      <c r="D74" s="28"/>
      <c r="E74" s="28">
        <v>1.6</v>
      </c>
      <c r="F74" s="28">
        <f t="shared" si="0"/>
        <v>1.6</v>
      </c>
      <c r="G74" s="85"/>
    </row>
    <row r="75" spans="1:7" s="73" customFormat="1" ht="18.75" customHeight="1">
      <c r="A75" s="60" t="s">
        <v>420</v>
      </c>
      <c r="B75" s="89"/>
      <c r="C75" s="28"/>
      <c r="D75" s="28"/>
      <c r="E75" s="28">
        <v>4.8</v>
      </c>
      <c r="F75" s="28">
        <f t="shared" si="0"/>
        <v>4.8</v>
      </c>
      <c r="G75" s="85"/>
    </row>
    <row r="76" spans="1:7" s="73" customFormat="1" ht="25.5" customHeight="1">
      <c r="A76" s="60" t="s">
        <v>421</v>
      </c>
      <c r="B76" s="89"/>
      <c r="C76" s="28"/>
      <c r="D76" s="28"/>
      <c r="E76" s="28">
        <v>0.8</v>
      </c>
      <c r="F76" s="28">
        <f t="shared" si="0"/>
        <v>0.8</v>
      </c>
      <c r="G76" s="85"/>
    </row>
    <row r="77" spans="1:7" s="73" customFormat="1" ht="24" customHeight="1">
      <c r="A77" s="60" t="s">
        <v>422</v>
      </c>
      <c r="B77" s="89"/>
      <c r="C77" s="28"/>
      <c r="D77" s="28"/>
      <c r="E77" s="28">
        <v>1.2</v>
      </c>
      <c r="F77" s="28">
        <f t="shared" si="0"/>
        <v>1.2</v>
      </c>
      <c r="G77" s="85"/>
    </row>
    <row r="78" spans="1:7" s="73" customFormat="1" ht="38.25" customHeight="1">
      <c r="A78" s="60" t="s">
        <v>423</v>
      </c>
      <c r="B78" s="89"/>
      <c r="C78" s="28"/>
      <c r="D78" s="28"/>
      <c r="E78" s="28">
        <v>0.6</v>
      </c>
      <c r="F78" s="28">
        <f t="shared" si="0"/>
        <v>0.6</v>
      </c>
      <c r="G78" s="85"/>
    </row>
    <row r="79" spans="1:7" s="73" customFormat="1" ht="24" customHeight="1">
      <c r="A79" s="60" t="s">
        <v>424</v>
      </c>
      <c r="B79" s="89"/>
      <c r="C79" s="28"/>
      <c r="D79" s="28"/>
      <c r="E79" s="28">
        <v>1.7</v>
      </c>
      <c r="F79" s="28">
        <f t="shared" si="0"/>
        <v>1.7</v>
      </c>
      <c r="G79" s="85"/>
    </row>
    <row r="80" spans="1:7" s="73" customFormat="1" ht="21.75" customHeight="1">
      <c r="A80" s="60" t="s">
        <v>328</v>
      </c>
      <c r="B80" s="89"/>
      <c r="C80" s="28"/>
      <c r="D80" s="28"/>
      <c r="E80" s="28">
        <v>5.7</v>
      </c>
      <c r="F80" s="28">
        <f t="shared" si="0"/>
        <v>5.7</v>
      </c>
      <c r="G80" s="85"/>
    </row>
    <row r="81" spans="1:7" s="73" customFormat="1" ht="24" customHeight="1">
      <c r="A81" s="60" t="s">
        <v>425</v>
      </c>
      <c r="B81" s="89"/>
      <c r="C81" s="28"/>
      <c r="D81" s="28"/>
      <c r="E81" s="28">
        <v>5.5</v>
      </c>
      <c r="F81" s="28">
        <f t="shared" si="0"/>
        <v>5.5</v>
      </c>
      <c r="G81" s="85"/>
    </row>
    <row r="82" spans="1:7" s="73" customFormat="1" ht="23.25" customHeight="1">
      <c r="A82" s="60" t="s">
        <v>426</v>
      </c>
      <c r="B82" s="89"/>
      <c r="C82" s="28"/>
      <c r="D82" s="28"/>
      <c r="E82" s="28">
        <v>1</v>
      </c>
      <c r="F82" s="28">
        <f t="shared" si="0"/>
        <v>1</v>
      </c>
      <c r="G82" s="85"/>
    </row>
    <row r="83" spans="1:7" s="73" customFormat="1" ht="23.25" customHeight="1">
      <c r="A83" s="60" t="s">
        <v>427</v>
      </c>
      <c r="B83" s="89"/>
      <c r="C83" s="28"/>
      <c r="D83" s="28"/>
      <c r="E83" s="28">
        <v>2.2999999999999998</v>
      </c>
      <c r="F83" s="28">
        <f t="shared" si="0"/>
        <v>2.2999999999999998</v>
      </c>
      <c r="G83" s="85"/>
    </row>
    <row r="84" spans="1:7" s="73" customFormat="1" ht="20.25" customHeight="1">
      <c r="A84" s="60" t="s">
        <v>428</v>
      </c>
      <c r="B84" s="89"/>
      <c r="C84" s="28"/>
      <c r="D84" s="28"/>
      <c r="E84" s="28">
        <v>0.7</v>
      </c>
      <c r="F84" s="28">
        <f t="shared" si="0"/>
        <v>0.7</v>
      </c>
      <c r="G84" s="85"/>
    </row>
    <row r="85" spans="1:7" s="73" customFormat="1" ht="29.25" customHeight="1">
      <c r="A85" s="60" t="s">
        <v>429</v>
      </c>
      <c r="B85" s="89"/>
      <c r="C85" s="28"/>
      <c r="D85" s="28"/>
      <c r="E85" s="28">
        <v>0.4</v>
      </c>
      <c r="F85" s="28">
        <f t="shared" si="0"/>
        <v>0.4</v>
      </c>
      <c r="G85" s="85"/>
    </row>
    <row r="86" spans="1:7" s="73" customFormat="1" ht="22.5" customHeight="1">
      <c r="A86" s="60" t="s">
        <v>430</v>
      </c>
      <c r="B86" s="89"/>
      <c r="C86" s="28"/>
      <c r="D86" s="28"/>
      <c r="E86" s="28">
        <v>1.5</v>
      </c>
      <c r="F86" s="28">
        <f t="shared" si="0"/>
        <v>1.5</v>
      </c>
      <c r="G86" s="85"/>
    </row>
    <row r="87" spans="1:7" s="73" customFormat="1" ht="23.25" customHeight="1">
      <c r="A87" s="60" t="s">
        <v>431</v>
      </c>
      <c r="B87" s="89"/>
      <c r="C87" s="28"/>
      <c r="D87" s="28"/>
      <c r="E87" s="28">
        <v>4.5</v>
      </c>
      <c r="F87" s="28">
        <f t="shared" si="0"/>
        <v>4.5</v>
      </c>
      <c r="G87" s="85"/>
    </row>
    <row r="88" spans="1:7" s="73" customFormat="1" ht="27" customHeight="1">
      <c r="A88" s="60" t="s">
        <v>432</v>
      </c>
      <c r="B88" s="89"/>
      <c r="C88" s="28"/>
      <c r="D88" s="28"/>
      <c r="E88" s="28">
        <v>10.7</v>
      </c>
      <c r="F88" s="28">
        <f t="shared" si="0"/>
        <v>10.7</v>
      </c>
      <c r="G88" s="85"/>
    </row>
    <row r="89" spans="1:7" ht="21.75" customHeight="1">
      <c r="A89" s="62" t="s">
        <v>433</v>
      </c>
      <c r="B89" s="61"/>
      <c r="C89" s="28"/>
      <c r="D89" s="28"/>
      <c r="E89" s="28">
        <v>5.2</v>
      </c>
      <c r="F89" s="28">
        <f t="shared" si="0"/>
        <v>5.2</v>
      </c>
      <c r="G89" s="90"/>
    </row>
    <row r="90" spans="1:7" ht="27" customHeight="1">
      <c r="A90" s="135" t="s">
        <v>434</v>
      </c>
      <c r="B90" s="136"/>
      <c r="C90" s="28"/>
      <c r="D90" s="28"/>
      <c r="E90" s="28">
        <v>8</v>
      </c>
      <c r="F90" s="28">
        <f t="shared" si="0"/>
        <v>8</v>
      </c>
      <c r="G90" s="90"/>
    </row>
    <row r="91" spans="1:7" ht="27" customHeight="1">
      <c r="A91" s="62" t="s">
        <v>435</v>
      </c>
      <c r="B91" s="61"/>
      <c r="C91" s="28"/>
      <c r="D91" s="28"/>
      <c r="E91" s="28">
        <v>4.5999999999999996</v>
      </c>
      <c r="F91" s="28">
        <f t="shared" si="0"/>
        <v>4.5999999999999996</v>
      </c>
      <c r="G91" s="90"/>
    </row>
    <row r="92" spans="1:7" ht="27" customHeight="1">
      <c r="A92" s="62" t="s">
        <v>436</v>
      </c>
      <c r="B92" s="61"/>
      <c r="C92" s="28"/>
      <c r="D92" s="28"/>
      <c r="E92" s="28">
        <v>2.1</v>
      </c>
      <c r="F92" s="28">
        <f t="shared" si="0"/>
        <v>2.1</v>
      </c>
      <c r="G92" s="90"/>
    </row>
    <row r="93" spans="1:7" s="73" customFormat="1" ht="40.5" customHeight="1">
      <c r="A93" s="130" t="s">
        <v>10</v>
      </c>
      <c r="B93" s="131">
        <v>4050</v>
      </c>
      <c r="C93" s="86">
        <f>C94</f>
        <v>1550</v>
      </c>
      <c r="D93" s="27">
        <f>SUM(D94)</f>
        <v>0</v>
      </c>
      <c r="E93" s="27">
        <f>SUM(E94)</f>
        <v>0</v>
      </c>
      <c r="F93" s="27">
        <f t="shared" si="0"/>
        <v>0</v>
      </c>
      <c r="G93" s="85"/>
    </row>
    <row r="94" spans="1:7" ht="80.25" customHeight="1">
      <c r="A94" s="60" t="s">
        <v>329</v>
      </c>
      <c r="B94" s="61"/>
      <c r="C94" s="28">
        <v>1550</v>
      </c>
      <c r="D94" s="28"/>
      <c r="E94" s="28"/>
      <c r="F94" s="28">
        <f t="shared" si="0"/>
        <v>0</v>
      </c>
      <c r="G94" s="90"/>
    </row>
    <row r="95" spans="1:7" ht="27" customHeight="1">
      <c r="A95" s="79"/>
      <c r="B95" s="68"/>
      <c r="C95" s="91"/>
      <c r="D95" s="91"/>
      <c r="E95" s="91"/>
      <c r="F95" s="91"/>
      <c r="G95" s="92"/>
    </row>
    <row r="96" spans="1:7" ht="26.25" customHeight="1">
      <c r="A96" s="124" t="s">
        <v>365</v>
      </c>
      <c r="B96" s="301"/>
      <c r="C96" s="301"/>
      <c r="D96" s="256"/>
      <c r="E96" s="294" t="s">
        <v>517</v>
      </c>
      <c r="F96" s="294"/>
      <c r="G96" s="294"/>
    </row>
    <row r="97" spans="1:7">
      <c r="A97" s="80" t="s">
        <v>60</v>
      </c>
      <c r="B97" s="302" t="s">
        <v>518</v>
      </c>
      <c r="C97" s="302"/>
      <c r="D97" s="30"/>
      <c r="E97" s="254"/>
      <c r="F97" s="254" t="s">
        <v>18</v>
      </c>
      <c r="G97" s="254"/>
    </row>
    <row r="98" spans="1:7">
      <c r="A98" s="65"/>
      <c r="C98" s="78"/>
      <c r="D98" s="66"/>
      <c r="E98" s="66"/>
      <c r="F98" s="66"/>
    </row>
    <row r="99" spans="1:7">
      <c r="A99" s="65"/>
      <c r="C99" s="78"/>
      <c r="D99" s="66"/>
      <c r="E99" s="66"/>
      <c r="F99" s="66"/>
    </row>
    <row r="100" spans="1:7">
      <c r="A100" s="65"/>
      <c r="C100" s="78"/>
      <c r="D100" s="66"/>
      <c r="E100" s="66"/>
      <c r="F100" s="66"/>
    </row>
    <row r="101" spans="1:7">
      <c r="A101" s="65"/>
      <c r="C101" s="78"/>
      <c r="D101" s="66"/>
      <c r="E101" s="66"/>
      <c r="F101" s="66"/>
    </row>
    <row r="102" spans="1:7">
      <c r="A102" s="65"/>
      <c r="C102" s="78"/>
      <c r="D102" s="66"/>
      <c r="E102" s="66"/>
      <c r="F102" s="66"/>
    </row>
    <row r="103" spans="1:7">
      <c r="A103" s="65"/>
      <c r="C103" s="78"/>
      <c r="D103" s="66"/>
      <c r="E103" s="66"/>
      <c r="F103" s="66"/>
    </row>
    <row r="104" spans="1:7">
      <c r="A104" s="65"/>
      <c r="C104" s="78"/>
      <c r="D104" s="66"/>
      <c r="E104" s="66"/>
      <c r="F104" s="66"/>
    </row>
    <row r="105" spans="1:7">
      <c r="A105" s="65"/>
      <c r="C105" s="78"/>
      <c r="D105" s="66"/>
      <c r="E105" s="66"/>
      <c r="F105" s="66"/>
    </row>
    <row r="106" spans="1:7">
      <c r="A106" s="65"/>
      <c r="C106" s="78"/>
      <c r="D106" s="66"/>
      <c r="E106" s="66"/>
      <c r="F106" s="66"/>
    </row>
    <row r="107" spans="1:7">
      <c r="A107" s="65"/>
      <c r="C107" s="78"/>
      <c r="D107" s="66"/>
      <c r="E107" s="66"/>
      <c r="F107" s="66"/>
    </row>
    <row r="108" spans="1:7">
      <c r="A108" s="65"/>
      <c r="C108" s="78"/>
      <c r="D108" s="66"/>
      <c r="E108" s="66"/>
      <c r="F108" s="66"/>
    </row>
    <row r="109" spans="1:7">
      <c r="A109" s="65"/>
      <c r="C109" s="78"/>
      <c r="D109" s="66"/>
      <c r="E109" s="66"/>
      <c r="F109" s="66"/>
    </row>
    <row r="110" spans="1:7">
      <c r="A110" s="65"/>
      <c r="C110" s="78"/>
      <c r="D110" s="66"/>
      <c r="E110" s="66"/>
      <c r="F110" s="66"/>
    </row>
    <row r="111" spans="1:7">
      <c r="A111" s="65"/>
      <c r="C111" s="78"/>
      <c r="D111" s="66"/>
      <c r="E111" s="66"/>
      <c r="F111" s="66"/>
    </row>
    <row r="112" spans="1:7">
      <c r="A112" s="65"/>
      <c r="C112" s="78"/>
      <c r="D112" s="66"/>
      <c r="E112" s="66"/>
      <c r="F112" s="66"/>
    </row>
    <row r="113" spans="1:6">
      <c r="A113" s="65"/>
      <c r="C113" s="78"/>
      <c r="D113" s="66"/>
      <c r="E113" s="66"/>
      <c r="F113" s="66"/>
    </row>
    <row r="114" spans="1:6">
      <c r="A114" s="65"/>
      <c r="C114" s="78"/>
      <c r="D114" s="66"/>
      <c r="E114" s="66"/>
      <c r="F114" s="66"/>
    </row>
    <row r="115" spans="1:6">
      <c r="A115" s="65"/>
      <c r="C115" s="78"/>
      <c r="D115" s="66"/>
      <c r="E115" s="66"/>
      <c r="F115" s="66"/>
    </row>
    <row r="116" spans="1:6">
      <c r="A116" s="65"/>
      <c r="C116" s="78"/>
      <c r="D116" s="66"/>
      <c r="E116" s="66"/>
      <c r="F116" s="66"/>
    </row>
    <row r="117" spans="1:6">
      <c r="A117" s="65"/>
      <c r="C117" s="78"/>
      <c r="D117" s="66"/>
      <c r="E117" s="66"/>
      <c r="F117" s="66"/>
    </row>
    <row r="118" spans="1:6">
      <c r="A118" s="65"/>
      <c r="C118" s="78"/>
      <c r="D118" s="66"/>
      <c r="E118" s="66"/>
      <c r="F118" s="66"/>
    </row>
    <row r="119" spans="1:6">
      <c r="A119" s="65"/>
      <c r="C119" s="78"/>
      <c r="D119" s="66"/>
      <c r="E119" s="66"/>
      <c r="F119" s="66"/>
    </row>
    <row r="120" spans="1:6">
      <c r="A120" s="65"/>
      <c r="C120" s="78"/>
      <c r="D120" s="66"/>
      <c r="E120" s="66"/>
      <c r="F120" s="66"/>
    </row>
    <row r="121" spans="1:6">
      <c r="A121" s="65"/>
      <c r="C121" s="78"/>
      <c r="D121" s="66"/>
      <c r="E121" s="66"/>
      <c r="F121" s="66"/>
    </row>
    <row r="122" spans="1:6">
      <c r="A122" s="65"/>
      <c r="C122" s="78"/>
      <c r="D122" s="66"/>
      <c r="E122" s="66"/>
      <c r="F122" s="66"/>
    </row>
    <row r="123" spans="1:6">
      <c r="A123" s="65"/>
      <c r="C123" s="78"/>
      <c r="D123" s="66"/>
      <c r="E123" s="66"/>
      <c r="F123" s="66"/>
    </row>
    <row r="124" spans="1:6">
      <c r="A124" s="65"/>
      <c r="C124" s="78"/>
      <c r="D124" s="66"/>
      <c r="E124" s="66"/>
      <c r="F124" s="66"/>
    </row>
    <row r="125" spans="1:6">
      <c r="A125" s="65"/>
      <c r="C125" s="78"/>
      <c r="D125" s="66"/>
      <c r="E125" s="66"/>
      <c r="F125" s="66"/>
    </row>
    <row r="126" spans="1:6">
      <c r="A126" s="65"/>
      <c r="C126" s="78"/>
      <c r="D126" s="66"/>
      <c r="E126" s="66"/>
      <c r="F126" s="66"/>
    </row>
    <row r="127" spans="1:6">
      <c r="A127" s="65"/>
      <c r="C127" s="78"/>
      <c r="D127" s="66"/>
      <c r="E127" s="66"/>
      <c r="F127" s="66"/>
    </row>
    <row r="128" spans="1:6">
      <c r="A128" s="65"/>
      <c r="C128" s="78"/>
      <c r="D128" s="66"/>
      <c r="E128" s="66"/>
      <c r="F128" s="66"/>
    </row>
    <row r="129" spans="1:6">
      <c r="A129" s="65"/>
      <c r="C129" s="78"/>
      <c r="D129" s="66"/>
      <c r="E129" s="66"/>
      <c r="F129" s="66"/>
    </row>
    <row r="130" spans="1:6">
      <c r="A130" s="65"/>
      <c r="C130" s="78"/>
      <c r="D130" s="66"/>
      <c r="E130" s="66"/>
      <c r="F130" s="66"/>
    </row>
    <row r="131" spans="1:6">
      <c r="A131" s="65"/>
      <c r="C131" s="78"/>
      <c r="D131" s="66"/>
      <c r="E131" s="66"/>
      <c r="F131" s="66"/>
    </row>
    <row r="132" spans="1:6">
      <c r="A132" s="65"/>
      <c r="C132" s="78"/>
      <c r="D132" s="66"/>
      <c r="E132" s="66"/>
      <c r="F132" s="66"/>
    </row>
    <row r="133" spans="1:6">
      <c r="A133" s="65"/>
      <c r="C133" s="78"/>
      <c r="D133" s="66"/>
      <c r="E133" s="66"/>
      <c r="F133" s="66"/>
    </row>
    <row r="134" spans="1:6">
      <c r="A134" s="65"/>
      <c r="C134" s="78"/>
      <c r="D134" s="66"/>
      <c r="E134" s="66"/>
      <c r="F134" s="66"/>
    </row>
    <row r="135" spans="1:6">
      <c r="A135" s="65"/>
      <c r="C135" s="78"/>
      <c r="D135" s="66"/>
      <c r="E135" s="66"/>
      <c r="F135" s="66"/>
    </row>
    <row r="136" spans="1:6">
      <c r="A136" s="65"/>
      <c r="C136" s="78"/>
      <c r="D136" s="66"/>
      <c r="E136" s="66"/>
      <c r="F136" s="66"/>
    </row>
    <row r="137" spans="1:6">
      <c r="A137" s="65"/>
      <c r="C137" s="78"/>
      <c r="D137" s="66"/>
      <c r="E137" s="66"/>
      <c r="F137" s="66"/>
    </row>
    <row r="138" spans="1:6">
      <c r="A138" s="65"/>
      <c r="C138" s="78"/>
      <c r="D138" s="66"/>
      <c r="E138" s="66"/>
      <c r="F138" s="66"/>
    </row>
    <row r="139" spans="1:6">
      <c r="A139" s="65"/>
      <c r="C139" s="78"/>
      <c r="D139" s="66"/>
      <c r="E139" s="66"/>
      <c r="F139" s="66"/>
    </row>
    <row r="140" spans="1:6">
      <c r="A140" s="65"/>
      <c r="C140" s="78"/>
      <c r="D140" s="66"/>
      <c r="E140" s="66"/>
      <c r="F140" s="66"/>
    </row>
    <row r="141" spans="1:6">
      <c r="A141" s="65"/>
      <c r="C141" s="78"/>
      <c r="D141" s="66"/>
      <c r="E141" s="66"/>
      <c r="F141" s="66"/>
    </row>
    <row r="142" spans="1:6">
      <c r="A142" s="65"/>
      <c r="C142" s="78"/>
      <c r="D142" s="66"/>
      <c r="E142" s="66"/>
      <c r="F142" s="66"/>
    </row>
    <row r="143" spans="1:6">
      <c r="A143" s="65"/>
      <c r="C143" s="78"/>
      <c r="D143" s="66"/>
      <c r="E143" s="66"/>
      <c r="F143" s="66"/>
    </row>
    <row r="144" spans="1:6">
      <c r="A144" s="65"/>
      <c r="C144" s="78"/>
      <c r="D144" s="66"/>
      <c r="E144" s="66"/>
      <c r="F144" s="66"/>
    </row>
    <row r="145" spans="1:6">
      <c r="A145" s="65"/>
      <c r="C145" s="78"/>
      <c r="D145" s="66"/>
      <c r="E145" s="66"/>
      <c r="F145" s="66"/>
    </row>
    <row r="146" spans="1:6">
      <c r="A146" s="65"/>
      <c r="C146" s="78"/>
      <c r="D146" s="66"/>
      <c r="E146" s="66"/>
      <c r="F146" s="66"/>
    </row>
    <row r="147" spans="1:6">
      <c r="A147" s="65"/>
      <c r="C147" s="78"/>
      <c r="D147" s="66"/>
      <c r="E147" s="66"/>
      <c r="F147" s="66"/>
    </row>
    <row r="148" spans="1:6">
      <c r="A148" s="65"/>
      <c r="C148" s="78"/>
      <c r="D148" s="66"/>
      <c r="E148" s="66"/>
      <c r="F148" s="66"/>
    </row>
    <row r="149" spans="1:6">
      <c r="A149" s="65"/>
      <c r="C149" s="78"/>
      <c r="D149" s="66"/>
      <c r="E149" s="66"/>
      <c r="F149" s="66"/>
    </row>
    <row r="150" spans="1:6">
      <c r="A150" s="65"/>
      <c r="C150" s="78"/>
      <c r="D150" s="66"/>
      <c r="E150" s="66"/>
      <c r="F150" s="66"/>
    </row>
    <row r="151" spans="1:6">
      <c r="A151" s="65"/>
      <c r="C151" s="78"/>
      <c r="D151" s="66"/>
      <c r="E151" s="66"/>
      <c r="F151" s="66"/>
    </row>
    <row r="152" spans="1:6">
      <c r="A152" s="65"/>
    </row>
    <row r="153" spans="1:6">
      <c r="A153" s="74"/>
    </row>
    <row r="154" spans="1:6">
      <c r="A154" s="74"/>
    </row>
    <row r="155" spans="1:6">
      <c r="A155" s="74"/>
    </row>
    <row r="156" spans="1:6">
      <c r="A156" s="74"/>
    </row>
    <row r="157" spans="1:6">
      <c r="A157" s="74"/>
    </row>
    <row r="158" spans="1:6">
      <c r="A158" s="74"/>
    </row>
    <row r="159" spans="1:6">
      <c r="A159" s="74"/>
    </row>
    <row r="160" spans="1:6">
      <c r="A160" s="74"/>
    </row>
    <row r="161" spans="1:1">
      <c r="A161" s="74"/>
    </row>
    <row r="162" spans="1:1">
      <c r="A162" s="74"/>
    </row>
    <row r="163" spans="1:1">
      <c r="A163" s="74"/>
    </row>
    <row r="164" spans="1:1">
      <c r="A164" s="74"/>
    </row>
    <row r="165" spans="1:1">
      <c r="A165" s="74"/>
    </row>
    <row r="166" spans="1:1">
      <c r="A166" s="74"/>
    </row>
    <row r="167" spans="1:1">
      <c r="A167" s="74"/>
    </row>
    <row r="168" spans="1:1">
      <c r="A168" s="74"/>
    </row>
    <row r="169" spans="1:1">
      <c r="A169" s="74"/>
    </row>
    <row r="170" spans="1:1">
      <c r="A170" s="74"/>
    </row>
    <row r="171" spans="1:1">
      <c r="A171" s="74"/>
    </row>
    <row r="172" spans="1:1">
      <c r="A172" s="74"/>
    </row>
    <row r="173" spans="1:1">
      <c r="A173" s="74"/>
    </row>
    <row r="174" spans="1:1">
      <c r="A174" s="74"/>
    </row>
    <row r="175" spans="1:1">
      <c r="A175" s="74"/>
    </row>
    <row r="176" spans="1:1">
      <c r="A176" s="74"/>
    </row>
    <row r="177" spans="1:1">
      <c r="A177" s="74"/>
    </row>
    <row r="178" spans="1:1">
      <c r="A178" s="74"/>
    </row>
    <row r="179" spans="1:1">
      <c r="A179" s="74"/>
    </row>
    <row r="180" spans="1:1">
      <c r="A180" s="74"/>
    </row>
    <row r="181" spans="1:1">
      <c r="A181" s="74"/>
    </row>
    <row r="182" spans="1:1">
      <c r="A182" s="74"/>
    </row>
    <row r="183" spans="1:1">
      <c r="A183" s="74"/>
    </row>
    <row r="184" spans="1:1">
      <c r="A184" s="74"/>
    </row>
    <row r="185" spans="1:1">
      <c r="A185" s="74"/>
    </row>
    <row r="186" spans="1:1">
      <c r="A186" s="74"/>
    </row>
    <row r="187" spans="1:1">
      <c r="A187" s="74"/>
    </row>
    <row r="188" spans="1:1">
      <c r="A188" s="74"/>
    </row>
    <row r="189" spans="1:1">
      <c r="A189" s="74"/>
    </row>
    <row r="190" spans="1:1">
      <c r="A190" s="74"/>
    </row>
    <row r="191" spans="1:1">
      <c r="A191" s="74"/>
    </row>
    <row r="192" spans="1:1">
      <c r="A192" s="74"/>
    </row>
    <row r="193" spans="1:1">
      <c r="A193" s="74"/>
    </row>
    <row r="194" spans="1:1">
      <c r="A194" s="74"/>
    </row>
    <row r="195" spans="1:1">
      <c r="A195" s="74"/>
    </row>
    <row r="196" spans="1:1">
      <c r="A196" s="74"/>
    </row>
    <row r="197" spans="1:1">
      <c r="A197" s="74"/>
    </row>
    <row r="198" spans="1:1">
      <c r="A198" s="74"/>
    </row>
    <row r="199" spans="1:1">
      <c r="A199" s="74"/>
    </row>
    <row r="200" spans="1:1">
      <c r="A200" s="74"/>
    </row>
    <row r="201" spans="1:1">
      <c r="A201" s="74"/>
    </row>
    <row r="202" spans="1:1">
      <c r="A202" s="74"/>
    </row>
    <row r="203" spans="1:1">
      <c r="A203" s="74"/>
    </row>
    <row r="204" spans="1:1">
      <c r="A204" s="74"/>
    </row>
    <row r="205" spans="1:1">
      <c r="A205" s="74"/>
    </row>
    <row r="206" spans="1:1">
      <c r="A206" s="74"/>
    </row>
    <row r="207" spans="1:1">
      <c r="A207" s="74"/>
    </row>
    <row r="208" spans="1:1">
      <c r="A208" s="74"/>
    </row>
    <row r="209" spans="1:1">
      <c r="A209" s="74"/>
    </row>
    <row r="210" spans="1:1">
      <c r="A210" s="74"/>
    </row>
    <row r="211" spans="1:1">
      <c r="A211" s="74"/>
    </row>
    <row r="212" spans="1:1">
      <c r="A212" s="74"/>
    </row>
    <row r="213" spans="1:1">
      <c r="A213" s="74"/>
    </row>
    <row r="214" spans="1:1">
      <c r="A214" s="74"/>
    </row>
    <row r="215" spans="1:1">
      <c r="A215" s="74"/>
    </row>
    <row r="216" spans="1:1">
      <c r="A216" s="74"/>
    </row>
    <row r="217" spans="1:1">
      <c r="A217" s="74"/>
    </row>
    <row r="218" spans="1:1">
      <c r="A218" s="74"/>
    </row>
    <row r="219" spans="1:1">
      <c r="A219" s="74"/>
    </row>
    <row r="220" spans="1:1">
      <c r="A220" s="74"/>
    </row>
    <row r="221" spans="1:1">
      <c r="A221" s="74"/>
    </row>
    <row r="222" spans="1:1">
      <c r="A222" s="74"/>
    </row>
    <row r="223" spans="1:1">
      <c r="A223" s="74"/>
    </row>
    <row r="224" spans="1:1">
      <c r="A224" s="74"/>
    </row>
    <row r="225" spans="1:1">
      <c r="A225" s="74"/>
    </row>
    <row r="226" spans="1:1">
      <c r="A226" s="74"/>
    </row>
    <row r="227" spans="1:1">
      <c r="A227" s="74"/>
    </row>
    <row r="228" spans="1:1">
      <c r="A228" s="74"/>
    </row>
    <row r="229" spans="1:1">
      <c r="A229" s="74"/>
    </row>
    <row r="230" spans="1:1">
      <c r="A230" s="74"/>
    </row>
    <row r="231" spans="1:1">
      <c r="A231" s="74"/>
    </row>
    <row r="232" spans="1:1">
      <c r="A232" s="74"/>
    </row>
    <row r="233" spans="1:1">
      <c r="A233" s="74"/>
    </row>
    <row r="234" spans="1:1">
      <c r="A234" s="74"/>
    </row>
    <row r="235" spans="1:1">
      <c r="A235" s="74"/>
    </row>
    <row r="236" spans="1:1">
      <c r="A236" s="74"/>
    </row>
    <row r="237" spans="1:1">
      <c r="A237" s="74"/>
    </row>
    <row r="238" spans="1:1">
      <c r="A238" s="74"/>
    </row>
    <row r="239" spans="1:1">
      <c r="A239" s="74"/>
    </row>
    <row r="240" spans="1:1">
      <c r="A240" s="74"/>
    </row>
    <row r="241" spans="1:1">
      <c r="A241" s="74"/>
    </row>
    <row r="242" spans="1:1">
      <c r="A242" s="74"/>
    </row>
    <row r="243" spans="1:1">
      <c r="A243" s="74"/>
    </row>
    <row r="244" spans="1:1">
      <c r="A244" s="74"/>
    </row>
    <row r="245" spans="1:1">
      <c r="A245" s="74"/>
    </row>
    <row r="246" spans="1:1">
      <c r="A246" s="74"/>
    </row>
    <row r="247" spans="1:1">
      <c r="A247" s="74"/>
    </row>
    <row r="248" spans="1:1">
      <c r="A248" s="74"/>
    </row>
    <row r="249" spans="1:1">
      <c r="A249" s="74"/>
    </row>
    <row r="250" spans="1:1">
      <c r="A250" s="74"/>
    </row>
    <row r="251" spans="1:1">
      <c r="A251" s="74"/>
    </row>
    <row r="252" spans="1:1">
      <c r="A252" s="74"/>
    </row>
    <row r="253" spans="1:1">
      <c r="A253" s="74"/>
    </row>
    <row r="254" spans="1:1">
      <c r="A254" s="74"/>
    </row>
    <row r="255" spans="1:1">
      <c r="A255" s="74"/>
    </row>
    <row r="256" spans="1:1">
      <c r="A256" s="74"/>
    </row>
    <row r="257" spans="1:1">
      <c r="A257" s="74"/>
    </row>
    <row r="258" spans="1:1">
      <c r="A258" s="74"/>
    </row>
    <row r="259" spans="1:1">
      <c r="A259" s="74"/>
    </row>
    <row r="260" spans="1:1">
      <c r="A260" s="74"/>
    </row>
    <row r="261" spans="1:1">
      <c r="A261" s="74"/>
    </row>
    <row r="262" spans="1:1">
      <c r="A262" s="74"/>
    </row>
    <row r="263" spans="1:1">
      <c r="A263" s="74"/>
    </row>
    <row r="264" spans="1:1">
      <c r="A264" s="74"/>
    </row>
    <row r="265" spans="1:1">
      <c r="A265" s="74"/>
    </row>
    <row r="266" spans="1:1">
      <c r="A266" s="74"/>
    </row>
    <row r="267" spans="1:1">
      <c r="A267" s="74"/>
    </row>
    <row r="268" spans="1:1">
      <c r="A268" s="74"/>
    </row>
    <row r="269" spans="1:1">
      <c r="A269" s="74"/>
    </row>
    <row r="270" spans="1:1">
      <c r="A270" s="74"/>
    </row>
    <row r="271" spans="1:1">
      <c r="A271" s="74"/>
    </row>
    <row r="272" spans="1:1">
      <c r="A272" s="74"/>
    </row>
    <row r="273" spans="1:1">
      <c r="A273" s="74"/>
    </row>
    <row r="274" spans="1:1">
      <c r="A274" s="74"/>
    </row>
    <row r="275" spans="1:1">
      <c r="A275" s="74"/>
    </row>
    <row r="276" spans="1:1">
      <c r="A276" s="74"/>
    </row>
    <row r="277" spans="1:1">
      <c r="A277" s="74"/>
    </row>
    <row r="278" spans="1:1">
      <c r="A278" s="74"/>
    </row>
    <row r="279" spans="1:1">
      <c r="A279" s="74"/>
    </row>
    <row r="280" spans="1:1">
      <c r="A280" s="74"/>
    </row>
    <row r="281" spans="1:1">
      <c r="A281" s="74"/>
    </row>
    <row r="282" spans="1:1">
      <c r="A282" s="74"/>
    </row>
    <row r="283" spans="1:1">
      <c r="A283" s="74"/>
    </row>
    <row r="284" spans="1:1">
      <c r="A284" s="74"/>
    </row>
    <row r="285" spans="1:1">
      <c r="A285" s="74"/>
    </row>
    <row r="286" spans="1:1">
      <c r="A286" s="74"/>
    </row>
    <row r="287" spans="1:1">
      <c r="A287" s="74"/>
    </row>
    <row r="288" spans="1:1">
      <c r="A288" s="74"/>
    </row>
    <row r="289" spans="1:1">
      <c r="A289" s="74"/>
    </row>
    <row r="290" spans="1:1">
      <c r="A290" s="74"/>
    </row>
    <row r="291" spans="1:1">
      <c r="A291" s="74"/>
    </row>
    <row r="292" spans="1:1">
      <c r="A292" s="74"/>
    </row>
    <row r="293" spans="1:1">
      <c r="A293" s="74"/>
    </row>
    <row r="294" spans="1:1">
      <c r="A294" s="74"/>
    </row>
    <row r="295" spans="1:1">
      <c r="A295" s="74"/>
    </row>
    <row r="296" spans="1:1">
      <c r="A296" s="74"/>
    </row>
    <row r="297" spans="1:1">
      <c r="A297" s="74"/>
    </row>
    <row r="298" spans="1:1">
      <c r="A298" s="74"/>
    </row>
    <row r="299" spans="1:1">
      <c r="A299" s="74"/>
    </row>
    <row r="300" spans="1:1">
      <c r="A300" s="74"/>
    </row>
    <row r="301" spans="1:1">
      <c r="A301" s="74"/>
    </row>
    <row r="302" spans="1:1">
      <c r="A302" s="74"/>
    </row>
    <row r="303" spans="1:1">
      <c r="A303" s="74"/>
    </row>
    <row r="304" spans="1:1">
      <c r="A304" s="74"/>
    </row>
    <row r="305" spans="1:1">
      <c r="A305" s="74"/>
    </row>
    <row r="306" spans="1:1">
      <c r="A306" s="74"/>
    </row>
    <row r="307" spans="1:1">
      <c r="A307" s="74"/>
    </row>
    <row r="308" spans="1:1">
      <c r="A308" s="74"/>
    </row>
    <row r="309" spans="1:1">
      <c r="A309" s="74"/>
    </row>
    <row r="310" spans="1:1">
      <c r="A310" s="74"/>
    </row>
    <row r="311" spans="1:1">
      <c r="A311" s="74"/>
    </row>
    <row r="312" spans="1:1">
      <c r="A312" s="74"/>
    </row>
    <row r="313" spans="1:1">
      <c r="A313" s="74"/>
    </row>
    <row r="314" spans="1:1">
      <c r="A314" s="74"/>
    </row>
    <row r="315" spans="1:1">
      <c r="A315" s="74"/>
    </row>
    <row r="316" spans="1:1">
      <c r="A316" s="74"/>
    </row>
    <row r="317" spans="1:1">
      <c r="A317" s="74"/>
    </row>
    <row r="318" spans="1:1">
      <c r="A318" s="74"/>
    </row>
    <row r="319" spans="1:1">
      <c r="A319" s="74"/>
    </row>
  </sheetData>
  <mergeCells count="4">
    <mergeCell ref="A1:F1"/>
    <mergeCell ref="E96:G96"/>
    <mergeCell ref="B96:C96"/>
    <mergeCell ref="B97:C97"/>
  </mergeCells>
  <pageMargins left="0.59055118110236227" right="0.59055118110236227" top="0.98425196850393704" bottom="0.39370078740157483" header="0.19685039370078741" footer="0.19685039370078741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P78"/>
  <sheetViews>
    <sheetView view="pageBreakPreview" zoomScale="60" zoomScaleNormal="60" workbookViewId="0">
      <selection activeCell="L2" sqref="L2"/>
    </sheetView>
  </sheetViews>
  <sheetFormatPr defaultRowHeight="20.25"/>
  <cols>
    <col min="1" max="1" width="8.28515625" style="98" customWidth="1"/>
    <col min="2" max="2" width="26.140625" style="98" customWidth="1"/>
    <col min="3" max="3" width="11.28515625" style="98" customWidth="1"/>
    <col min="4" max="4" width="15.28515625" style="98" customWidth="1"/>
    <col min="5" max="10" width="18.42578125" style="98" customWidth="1"/>
    <col min="11" max="11" width="18.7109375" style="98" customWidth="1"/>
    <col min="12" max="12" width="19" style="98" customWidth="1"/>
    <col min="13" max="16" width="18.42578125" style="98" customWidth="1"/>
    <col min="17" max="16384" width="9.140625" style="98"/>
  </cols>
  <sheetData>
    <row r="1" spans="1:16">
      <c r="A1" s="96"/>
      <c r="B1" s="96"/>
      <c r="C1" s="96"/>
      <c r="D1" s="96"/>
      <c r="E1" s="96"/>
      <c r="F1" s="96"/>
      <c r="G1" s="96"/>
      <c r="H1" s="96"/>
      <c r="I1" s="97"/>
      <c r="J1" s="97"/>
      <c r="P1" s="97"/>
    </row>
    <row r="2" spans="1:16" s="99" customFormat="1" ht="63.75" customHeight="1">
      <c r="E2" s="251" t="s">
        <v>516</v>
      </c>
      <c r="F2" s="251"/>
      <c r="G2" s="251"/>
      <c r="H2" s="251"/>
      <c r="I2" s="251"/>
      <c r="J2" s="251"/>
      <c r="K2" s="251"/>
      <c r="L2" s="250"/>
    </row>
    <row r="3" spans="1:16">
      <c r="A3" s="100"/>
      <c r="B3" s="100"/>
      <c r="C3" s="100"/>
      <c r="D3" s="100"/>
      <c r="E3" s="101"/>
      <c r="F3" s="101"/>
      <c r="G3" s="101"/>
      <c r="H3" s="101"/>
      <c r="I3" s="101"/>
      <c r="J3" s="101"/>
      <c r="P3" s="97" t="s">
        <v>51</v>
      </c>
    </row>
    <row r="4" spans="1:16" ht="88.5" customHeight="1">
      <c r="A4" s="312" t="s">
        <v>8</v>
      </c>
      <c r="B4" s="312" t="s">
        <v>21</v>
      </c>
      <c r="C4" s="312"/>
      <c r="D4" s="312"/>
      <c r="E4" s="312" t="s">
        <v>137</v>
      </c>
      <c r="F4" s="312"/>
      <c r="G4" s="312" t="s">
        <v>437</v>
      </c>
      <c r="H4" s="312"/>
      <c r="I4" s="260" t="s">
        <v>514</v>
      </c>
      <c r="J4" s="260"/>
      <c r="K4" s="260" t="s">
        <v>513</v>
      </c>
      <c r="L4" s="260"/>
      <c r="M4" s="312" t="s">
        <v>138</v>
      </c>
      <c r="N4" s="312"/>
      <c r="O4" s="312"/>
      <c r="P4" s="312"/>
    </row>
    <row r="5" spans="1:16" ht="111" customHeight="1">
      <c r="A5" s="312"/>
      <c r="B5" s="312"/>
      <c r="C5" s="312"/>
      <c r="D5" s="312"/>
      <c r="E5" s="102" t="s">
        <v>440</v>
      </c>
      <c r="F5" s="102" t="s">
        <v>441</v>
      </c>
      <c r="G5" s="102" t="s">
        <v>440</v>
      </c>
      <c r="H5" s="102" t="s">
        <v>441</v>
      </c>
      <c r="I5" s="102" t="s">
        <v>440</v>
      </c>
      <c r="J5" s="102" t="s">
        <v>441</v>
      </c>
      <c r="K5" s="102" t="s">
        <v>440</v>
      </c>
      <c r="L5" s="102" t="s">
        <v>441</v>
      </c>
      <c r="M5" s="102" t="s">
        <v>440</v>
      </c>
      <c r="N5" s="102" t="s">
        <v>441</v>
      </c>
      <c r="O5" s="34" t="s">
        <v>115</v>
      </c>
      <c r="P5" s="34" t="s">
        <v>118</v>
      </c>
    </row>
    <row r="6" spans="1:16" ht="30" customHeight="1">
      <c r="A6" s="34">
        <v>1</v>
      </c>
      <c r="B6" s="312">
        <v>2</v>
      </c>
      <c r="C6" s="312"/>
      <c r="D6" s="312"/>
      <c r="E6" s="34">
        <v>4</v>
      </c>
      <c r="F6" s="34">
        <v>5</v>
      </c>
      <c r="G6" s="34">
        <v>7</v>
      </c>
      <c r="H6" s="34">
        <v>8</v>
      </c>
      <c r="I6" s="34">
        <v>10</v>
      </c>
      <c r="J6" s="34">
        <v>11</v>
      </c>
      <c r="K6" s="9">
        <v>13</v>
      </c>
      <c r="L6" s="9">
        <v>14</v>
      </c>
      <c r="M6" s="9">
        <v>16</v>
      </c>
      <c r="N6" s="9">
        <v>17</v>
      </c>
      <c r="O6" s="9">
        <v>18</v>
      </c>
      <c r="P6" s="9">
        <v>19</v>
      </c>
    </row>
    <row r="7" spans="1:16" ht="48" customHeight="1">
      <c r="A7" s="11">
        <v>1</v>
      </c>
      <c r="B7" s="313" t="s">
        <v>92</v>
      </c>
      <c r="C7" s="314"/>
      <c r="D7" s="314"/>
      <c r="E7" s="1">
        <f t="shared" ref="E7:L7" si="0">SUM(E8:E20)</f>
        <v>0</v>
      </c>
      <c r="F7" s="1">
        <f t="shared" si="0"/>
        <v>0</v>
      </c>
      <c r="G7" s="1">
        <f t="shared" si="0"/>
        <v>0</v>
      </c>
      <c r="H7" s="1">
        <f t="shared" si="0"/>
        <v>17.899999999999999</v>
      </c>
      <c r="I7" s="1">
        <f t="shared" si="0"/>
        <v>0</v>
      </c>
      <c r="J7" s="1">
        <f t="shared" si="0"/>
        <v>195.3</v>
      </c>
      <c r="K7" s="1">
        <f t="shared" si="0"/>
        <v>0</v>
      </c>
      <c r="L7" s="1">
        <f t="shared" si="0"/>
        <v>215</v>
      </c>
      <c r="M7" s="150">
        <f>E7+G7+I7+K7</f>
        <v>0</v>
      </c>
      <c r="N7" s="1">
        <f>F7+H7+J7+L7</f>
        <v>428.20000000000005</v>
      </c>
      <c r="O7" s="1">
        <f t="shared" ref="O7:O59" si="1">N7-M7</f>
        <v>428.20000000000005</v>
      </c>
      <c r="P7" s="1"/>
    </row>
    <row r="8" spans="1:16">
      <c r="A8" s="34"/>
      <c r="B8" s="315" t="s">
        <v>310</v>
      </c>
      <c r="C8" s="316"/>
      <c r="D8" s="317"/>
      <c r="E8" s="10"/>
      <c r="F8" s="10"/>
      <c r="G8" s="10"/>
      <c r="H8" s="10"/>
      <c r="I8" s="10"/>
      <c r="J8" s="10"/>
      <c r="K8" s="103"/>
      <c r="L8" s="103">
        <v>103.7</v>
      </c>
      <c r="M8" s="10">
        <f t="shared" ref="M8:M20" si="2">E8+G8+I8+K8</f>
        <v>0</v>
      </c>
      <c r="N8" s="10">
        <f t="shared" ref="N8:N20" si="3">F8+H8+J8+L8</f>
        <v>103.7</v>
      </c>
      <c r="O8" s="10">
        <f t="shared" si="1"/>
        <v>103.7</v>
      </c>
      <c r="P8" s="10"/>
    </row>
    <row r="9" spans="1:16" ht="55.5" customHeight="1">
      <c r="A9" s="34"/>
      <c r="B9" s="315" t="s">
        <v>390</v>
      </c>
      <c r="C9" s="316"/>
      <c r="D9" s="317"/>
      <c r="E9" s="10"/>
      <c r="F9" s="10"/>
      <c r="G9" s="10"/>
      <c r="H9" s="10"/>
      <c r="I9" s="10"/>
      <c r="J9" s="10">
        <v>64.400000000000006</v>
      </c>
      <c r="K9" s="103"/>
      <c r="L9" s="103"/>
      <c r="M9" s="10">
        <f t="shared" si="2"/>
        <v>0</v>
      </c>
      <c r="N9" s="10">
        <f t="shared" si="3"/>
        <v>64.400000000000006</v>
      </c>
      <c r="O9" s="10">
        <f t="shared" si="1"/>
        <v>64.400000000000006</v>
      </c>
      <c r="P9" s="10"/>
    </row>
    <row r="10" spans="1:16">
      <c r="A10" s="34"/>
      <c r="B10" s="315" t="s">
        <v>391</v>
      </c>
      <c r="C10" s="316"/>
      <c r="D10" s="317"/>
      <c r="E10" s="10"/>
      <c r="F10" s="10"/>
      <c r="G10" s="10"/>
      <c r="H10" s="10"/>
      <c r="I10" s="10"/>
      <c r="J10" s="10">
        <v>22</v>
      </c>
      <c r="K10" s="103"/>
      <c r="L10" s="103"/>
      <c r="M10" s="10">
        <f t="shared" si="2"/>
        <v>0</v>
      </c>
      <c r="N10" s="10">
        <f t="shared" si="3"/>
        <v>22</v>
      </c>
      <c r="O10" s="10">
        <f t="shared" si="1"/>
        <v>22</v>
      </c>
      <c r="P10" s="10"/>
    </row>
    <row r="11" spans="1:16">
      <c r="A11" s="34"/>
      <c r="B11" s="315" t="s">
        <v>392</v>
      </c>
      <c r="C11" s="316"/>
      <c r="D11" s="317"/>
      <c r="E11" s="10"/>
      <c r="F11" s="10"/>
      <c r="G11" s="10"/>
      <c r="H11" s="10"/>
      <c r="I11" s="10"/>
      <c r="J11" s="10">
        <v>6.4</v>
      </c>
      <c r="K11" s="103"/>
      <c r="L11" s="103"/>
      <c r="M11" s="10">
        <f t="shared" si="2"/>
        <v>0</v>
      </c>
      <c r="N11" s="10">
        <f t="shared" si="3"/>
        <v>6.4</v>
      </c>
      <c r="O11" s="10">
        <f t="shared" si="1"/>
        <v>6.4</v>
      </c>
      <c r="P11" s="10"/>
    </row>
    <row r="12" spans="1:16">
      <c r="A12" s="34"/>
      <c r="B12" s="315" t="s">
        <v>393</v>
      </c>
      <c r="C12" s="316"/>
      <c r="D12" s="317"/>
      <c r="E12" s="10"/>
      <c r="F12" s="10"/>
      <c r="G12" s="10"/>
      <c r="H12" s="10"/>
      <c r="I12" s="10"/>
      <c r="J12" s="10">
        <v>7.2</v>
      </c>
      <c r="K12" s="103"/>
      <c r="L12" s="103"/>
      <c r="M12" s="10">
        <f t="shared" si="2"/>
        <v>0</v>
      </c>
      <c r="N12" s="10">
        <f t="shared" si="3"/>
        <v>7.2</v>
      </c>
      <c r="O12" s="10">
        <f t="shared" si="1"/>
        <v>7.2</v>
      </c>
      <c r="P12" s="10"/>
    </row>
    <row r="13" spans="1:16">
      <c r="A13" s="34"/>
      <c r="B13" s="315" t="s">
        <v>394</v>
      </c>
      <c r="C13" s="316"/>
      <c r="D13" s="317"/>
      <c r="E13" s="10"/>
      <c r="F13" s="10"/>
      <c r="G13" s="10"/>
      <c r="H13" s="10"/>
      <c r="I13" s="10"/>
      <c r="J13" s="10"/>
      <c r="K13" s="103"/>
      <c r="L13" s="103">
        <v>8.1</v>
      </c>
      <c r="M13" s="10">
        <f t="shared" si="2"/>
        <v>0</v>
      </c>
      <c r="N13" s="10">
        <f t="shared" si="3"/>
        <v>8.1</v>
      </c>
      <c r="O13" s="10">
        <f t="shared" si="1"/>
        <v>8.1</v>
      </c>
      <c r="P13" s="10"/>
    </row>
    <row r="14" spans="1:16">
      <c r="A14" s="34"/>
      <c r="B14" s="315" t="s">
        <v>395</v>
      </c>
      <c r="C14" s="316"/>
      <c r="D14" s="317"/>
      <c r="E14" s="10"/>
      <c r="F14" s="10"/>
      <c r="G14" s="10"/>
      <c r="H14" s="10"/>
      <c r="I14" s="10"/>
      <c r="J14" s="10">
        <v>78.7</v>
      </c>
      <c r="K14" s="103"/>
      <c r="L14" s="103"/>
      <c r="M14" s="10">
        <f t="shared" si="2"/>
        <v>0</v>
      </c>
      <c r="N14" s="10">
        <f t="shared" si="3"/>
        <v>78.7</v>
      </c>
      <c r="O14" s="10">
        <f t="shared" si="1"/>
        <v>78.7</v>
      </c>
      <c r="P14" s="10"/>
    </row>
    <row r="15" spans="1:16" ht="48" customHeight="1">
      <c r="A15" s="34"/>
      <c r="B15" s="315" t="s">
        <v>396</v>
      </c>
      <c r="C15" s="316"/>
      <c r="D15" s="317"/>
      <c r="E15" s="10"/>
      <c r="F15" s="10"/>
      <c r="G15" s="10"/>
      <c r="H15" s="10"/>
      <c r="I15" s="10"/>
      <c r="J15" s="10">
        <v>16.600000000000001</v>
      </c>
      <c r="K15" s="103"/>
      <c r="L15" s="103"/>
      <c r="M15" s="10">
        <f t="shared" si="2"/>
        <v>0</v>
      </c>
      <c r="N15" s="10">
        <f t="shared" si="3"/>
        <v>16.600000000000001</v>
      </c>
      <c r="O15" s="10">
        <f t="shared" si="1"/>
        <v>16.600000000000001</v>
      </c>
      <c r="P15" s="10"/>
    </row>
    <row r="16" spans="1:16">
      <c r="A16" s="34"/>
      <c r="B16" s="315" t="s">
        <v>311</v>
      </c>
      <c r="C16" s="316"/>
      <c r="D16" s="317"/>
      <c r="E16" s="10"/>
      <c r="F16" s="10"/>
      <c r="G16" s="10"/>
      <c r="H16" s="10"/>
      <c r="I16" s="10"/>
      <c r="J16" s="10"/>
      <c r="K16" s="103"/>
      <c r="L16" s="103">
        <v>6</v>
      </c>
      <c r="M16" s="10">
        <f t="shared" si="2"/>
        <v>0</v>
      </c>
      <c r="N16" s="10">
        <f t="shared" si="3"/>
        <v>6</v>
      </c>
      <c r="O16" s="10">
        <f t="shared" si="1"/>
        <v>6</v>
      </c>
      <c r="P16" s="10"/>
    </row>
    <row r="17" spans="1:16">
      <c r="A17" s="34"/>
      <c r="B17" s="315" t="s">
        <v>397</v>
      </c>
      <c r="C17" s="316"/>
      <c r="D17" s="317"/>
      <c r="E17" s="10"/>
      <c r="F17" s="10"/>
      <c r="G17" s="10"/>
      <c r="H17" s="10"/>
      <c r="I17" s="10"/>
      <c r="J17" s="10"/>
      <c r="K17" s="103"/>
      <c r="L17" s="103">
        <v>26.2</v>
      </c>
      <c r="M17" s="10">
        <f t="shared" si="2"/>
        <v>0</v>
      </c>
      <c r="N17" s="10">
        <f t="shared" si="3"/>
        <v>26.2</v>
      </c>
      <c r="O17" s="10">
        <f t="shared" si="1"/>
        <v>26.2</v>
      </c>
      <c r="P17" s="10"/>
    </row>
    <row r="18" spans="1:16">
      <c r="A18" s="34"/>
      <c r="B18" s="315" t="s">
        <v>312</v>
      </c>
      <c r="C18" s="316"/>
      <c r="D18" s="317"/>
      <c r="E18" s="10"/>
      <c r="F18" s="10"/>
      <c r="G18" s="10"/>
      <c r="H18" s="10"/>
      <c r="I18" s="10"/>
      <c r="J18" s="10"/>
      <c r="K18" s="103"/>
      <c r="L18" s="103">
        <v>42.8</v>
      </c>
      <c r="M18" s="10">
        <f t="shared" si="2"/>
        <v>0</v>
      </c>
      <c r="N18" s="10">
        <f t="shared" si="3"/>
        <v>42.8</v>
      </c>
      <c r="O18" s="10">
        <f t="shared" si="1"/>
        <v>42.8</v>
      </c>
      <c r="P18" s="10"/>
    </row>
    <row r="19" spans="1:16" ht="44.25" customHeight="1">
      <c r="A19" s="34"/>
      <c r="B19" s="315" t="s">
        <v>398</v>
      </c>
      <c r="C19" s="316"/>
      <c r="D19" s="317"/>
      <c r="E19" s="10"/>
      <c r="F19" s="10"/>
      <c r="G19" s="10"/>
      <c r="H19" s="10"/>
      <c r="I19" s="10"/>
      <c r="J19" s="10"/>
      <c r="K19" s="103"/>
      <c r="L19" s="103">
        <v>28.2</v>
      </c>
      <c r="M19" s="10">
        <f t="shared" si="2"/>
        <v>0</v>
      </c>
      <c r="N19" s="10">
        <f t="shared" si="3"/>
        <v>28.2</v>
      </c>
      <c r="O19" s="10">
        <f t="shared" si="1"/>
        <v>28.2</v>
      </c>
      <c r="P19" s="10"/>
    </row>
    <row r="20" spans="1:16">
      <c r="A20" s="34"/>
      <c r="B20" s="315" t="s">
        <v>399</v>
      </c>
      <c r="C20" s="316"/>
      <c r="D20" s="317"/>
      <c r="E20" s="10"/>
      <c r="F20" s="10"/>
      <c r="G20" s="10"/>
      <c r="H20" s="10">
        <v>17.899999999999999</v>
      </c>
      <c r="I20" s="10"/>
      <c r="J20" s="10"/>
      <c r="K20" s="103"/>
      <c r="L20" s="103"/>
      <c r="M20" s="10">
        <f t="shared" si="2"/>
        <v>0</v>
      </c>
      <c r="N20" s="10">
        <f t="shared" si="3"/>
        <v>17.899999999999999</v>
      </c>
      <c r="O20" s="10">
        <f t="shared" si="1"/>
        <v>17.899999999999999</v>
      </c>
      <c r="P20" s="10"/>
    </row>
    <row r="21" spans="1:16" ht="79.5" customHeight="1">
      <c r="A21" s="11">
        <v>2</v>
      </c>
      <c r="B21" s="313" t="s">
        <v>93</v>
      </c>
      <c r="C21" s="314"/>
      <c r="D21" s="314"/>
      <c r="E21" s="1">
        <f>SUM(E22:E58)</f>
        <v>0</v>
      </c>
      <c r="F21" s="1">
        <f t="shared" ref="F21:L21" si="4">SUM(F22:F58)</f>
        <v>0</v>
      </c>
      <c r="G21" s="1">
        <f t="shared" si="4"/>
        <v>0</v>
      </c>
      <c r="H21" s="1">
        <f t="shared" si="4"/>
        <v>2.1</v>
      </c>
      <c r="I21" s="1">
        <f t="shared" si="4"/>
        <v>0</v>
      </c>
      <c r="J21" s="1">
        <f t="shared" si="4"/>
        <v>92</v>
      </c>
      <c r="K21" s="1">
        <f t="shared" si="4"/>
        <v>0</v>
      </c>
      <c r="L21" s="1">
        <f t="shared" si="4"/>
        <v>69.7</v>
      </c>
      <c r="M21" s="1">
        <f>E21+G21+I21+K21</f>
        <v>0</v>
      </c>
      <c r="N21" s="1">
        <f>F21+H21+J21+L21</f>
        <v>163.80000000000001</v>
      </c>
      <c r="O21" s="1">
        <f t="shared" si="1"/>
        <v>163.80000000000001</v>
      </c>
      <c r="P21" s="1"/>
    </row>
    <row r="22" spans="1:16" ht="45" customHeight="1">
      <c r="A22" s="34"/>
      <c r="B22" s="303" t="s">
        <v>400</v>
      </c>
      <c r="C22" s="304"/>
      <c r="D22" s="305"/>
      <c r="E22" s="10"/>
      <c r="F22" s="10"/>
      <c r="G22" s="10"/>
      <c r="H22" s="10"/>
      <c r="I22" s="10"/>
      <c r="J22" s="10"/>
      <c r="K22" s="103"/>
      <c r="L22" s="103">
        <v>5.8</v>
      </c>
      <c r="M22" s="10">
        <f t="shared" ref="M22:M58" si="5">E22+G22+I22+K22</f>
        <v>0</v>
      </c>
      <c r="N22" s="10">
        <f t="shared" ref="N22:N58" si="6">F22+H22+J22+L22</f>
        <v>5.8</v>
      </c>
      <c r="O22" s="10">
        <f t="shared" si="1"/>
        <v>5.8</v>
      </c>
      <c r="P22" s="10"/>
    </row>
    <row r="23" spans="1:16" ht="46.5" customHeight="1">
      <c r="A23" s="34"/>
      <c r="B23" s="303" t="s">
        <v>401</v>
      </c>
      <c r="C23" s="304"/>
      <c r="D23" s="305"/>
      <c r="E23" s="10"/>
      <c r="F23" s="10"/>
      <c r="G23" s="10"/>
      <c r="H23" s="10"/>
      <c r="I23" s="10"/>
      <c r="J23" s="10">
        <v>0.4</v>
      </c>
      <c r="K23" s="103"/>
      <c r="L23" s="103"/>
      <c r="M23" s="10">
        <f t="shared" si="5"/>
        <v>0</v>
      </c>
      <c r="N23" s="10">
        <f t="shared" si="6"/>
        <v>0.4</v>
      </c>
      <c r="O23" s="10">
        <f t="shared" si="1"/>
        <v>0.4</v>
      </c>
      <c r="P23" s="10"/>
    </row>
    <row r="24" spans="1:16">
      <c r="A24" s="34"/>
      <c r="B24" s="303" t="s">
        <v>402</v>
      </c>
      <c r="C24" s="304"/>
      <c r="D24" s="305"/>
      <c r="E24" s="10"/>
      <c r="F24" s="10"/>
      <c r="G24" s="10"/>
      <c r="H24" s="10"/>
      <c r="I24" s="10"/>
      <c r="J24" s="10">
        <v>5.2</v>
      </c>
      <c r="K24" s="103"/>
      <c r="L24" s="103"/>
      <c r="M24" s="10">
        <f t="shared" si="5"/>
        <v>0</v>
      </c>
      <c r="N24" s="10">
        <f t="shared" si="6"/>
        <v>5.2</v>
      </c>
      <c r="O24" s="10">
        <f t="shared" si="1"/>
        <v>5.2</v>
      </c>
      <c r="P24" s="10"/>
    </row>
    <row r="25" spans="1:16" ht="64.5" customHeight="1">
      <c r="A25" s="34"/>
      <c r="B25" s="303" t="s">
        <v>403</v>
      </c>
      <c r="C25" s="304"/>
      <c r="D25" s="305"/>
      <c r="E25" s="10"/>
      <c r="F25" s="10"/>
      <c r="G25" s="10"/>
      <c r="H25" s="10"/>
      <c r="I25" s="10"/>
      <c r="J25" s="10">
        <v>0.7</v>
      </c>
      <c r="K25" s="103"/>
      <c r="L25" s="103"/>
      <c r="M25" s="10">
        <f t="shared" si="5"/>
        <v>0</v>
      </c>
      <c r="N25" s="10">
        <f t="shared" si="6"/>
        <v>0.7</v>
      </c>
      <c r="O25" s="10">
        <f t="shared" si="1"/>
        <v>0.7</v>
      </c>
      <c r="P25" s="10"/>
    </row>
    <row r="26" spans="1:16">
      <c r="A26" s="34"/>
      <c r="B26" s="303" t="s">
        <v>404</v>
      </c>
      <c r="C26" s="304"/>
      <c r="D26" s="305"/>
      <c r="E26" s="10"/>
      <c r="F26" s="10"/>
      <c r="G26" s="10"/>
      <c r="H26" s="10"/>
      <c r="I26" s="10"/>
      <c r="J26" s="10">
        <v>5</v>
      </c>
      <c r="K26" s="103"/>
      <c r="L26" s="103"/>
      <c r="M26" s="10">
        <f t="shared" si="5"/>
        <v>0</v>
      </c>
      <c r="N26" s="10">
        <f t="shared" si="6"/>
        <v>5</v>
      </c>
      <c r="O26" s="10">
        <f t="shared" si="1"/>
        <v>5</v>
      </c>
      <c r="P26" s="10"/>
    </row>
    <row r="27" spans="1:16" ht="42" customHeight="1">
      <c r="A27" s="34"/>
      <c r="B27" s="303" t="s">
        <v>405</v>
      </c>
      <c r="C27" s="304"/>
      <c r="D27" s="305"/>
      <c r="E27" s="10"/>
      <c r="F27" s="10"/>
      <c r="G27" s="10"/>
      <c r="H27" s="10"/>
      <c r="I27" s="10"/>
      <c r="J27" s="10">
        <v>25.2</v>
      </c>
      <c r="K27" s="103"/>
      <c r="L27" s="103"/>
      <c r="M27" s="10">
        <f t="shared" si="5"/>
        <v>0</v>
      </c>
      <c r="N27" s="10">
        <f t="shared" si="6"/>
        <v>25.2</v>
      </c>
      <c r="O27" s="10">
        <f t="shared" si="1"/>
        <v>25.2</v>
      </c>
      <c r="P27" s="10"/>
    </row>
    <row r="28" spans="1:16">
      <c r="A28" s="34"/>
      <c r="B28" s="303" t="s">
        <v>406</v>
      </c>
      <c r="C28" s="304"/>
      <c r="D28" s="305"/>
      <c r="E28" s="10"/>
      <c r="F28" s="10"/>
      <c r="G28" s="10"/>
      <c r="H28" s="10"/>
      <c r="I28" s="10"/>
      <c r="J28" s="10">
        <v>16.8</v>
      </c>
      <c r="K28" s="103"/>
      <c r="L28" s="103"/>
      <c r="M28" s="10">
        <f t="shared" si="5"/>
        <v>0</v>
      </c>
      <c r="N28" s="10">
        <f t="shared" si="6"/>
        <v>16.8</v>
      </c>
      <c r="O28" s="10">
        <f t="shared" si="1"/>
        <v>16.8</v>
      </c>
      <c r="P28" s="10"/>
    </row>
    <row r="29" spans="1:16">
      <c r="A29" s="34"/>
      <c r="B29" s="303" t="s">
        <v>407</v>
      </c>
      <c r="C29" s="304"/>
      <c r="D29" s="305"/>
      <c r="E29" s="10"/>
      <c r="F29" s="10"/>
      <c r="G29" s="10"/>
      <c r="H29" s="10"/>
      <c r="I29" s="10"/>
      <c r="J29" s="10">
        <v>1.3</v>
      </c>
      <c r="K29" s="103"/>
      <c r="L29" s="103"/>
      <c r="M29" s="10">
        <f t="shared" si="5"/>
        <v>0</v>
      </c>
      <c r="N29" s="10">
        <f t="shared" si="6"/>
        <v>1.3</v>
      </c>
      <c r="O29" s="10">
        <f t="shared" si="1"/>
        <v>1.3</v>
      </c>
      <c r="P29" s="10"/>
    </row>
    <row r="30" spans="1:16">
      <c r="A30" s="34"/>
      <c r="B30" s="303" t="s">
        <v>408</v>
      </c>
      <c r="C30" s="304"/>
      <c r="D30" s="305"/>
      <c r="E30" s="10"/>
      <c r="F30" s="10"/>
      <c r="G30" s="10"/>
      <c r="H30" s="10"/>
      <c r="I30" s="10"/>
      <c r="J30" s="10">
        <v>4.9000000000000004</v>
      </c>
      <c r="K30" s="103"/>
      <c r="L30" s="103"/>
      <c r="M30" s="10">
        <f t="shared" si="5"/>
        <v>0</v>
      </c>
      <c r="N30" s="10">
        <f t="shared" si="6"/>
        <v>4.9000000000000004</v>
      </c>
      <c r="O30" s="10">
        <f t="shared" si="1"/>
        <v>4.9000000000000004</v>
      </c>
      <c r="P30" s="10"/>
    </row>
    <row r="31" spans="1:16">
      <c r="A31" s="34"/>
      <c r="B31" s="303" t="s">
        <v>409</v>
      </c>
      <c r="C31" s="304"/>
      <c r="D31" s="305"/>
      <c r="E31" s="10"/>
      <c r="F31" s="10"/>
      <c r="G31" s="10"/>
      <c r="H31" s="10"/>
      <c r="I31" s="10"/>
      <c r="J31" s="10">
        <v>2.2999999999999998</v>
      </c>
      <c r="K31" s="103"/>
      <c r="L31" s="103"/>
      <c r="M31" s="10">
        <f t="shared" si="5"/>
        <v>0</v>
      </c>
      <c r="N31" s="10">
        <f t="shared" si="6"/>
        <v>2.2999999999999998</v>
      </c>
      <c r="O31" s="10">
        <f t="shared" si="1"/>
        <v>2.2999999999999998</v>
      </c>
      <c r="P31" s="10"/>
    </row>
    <row r="32" spans="1:16">
      <c r="A32" s="34"/>
      <c r="B32" s="303" t="s">
        <v>410</v>
      </c>
      <c r="C32" s="304"/>
      <c r="D32" s="305"/>
      <c r="E32" s="10"/>
      <c r="F32" s="10"/>
      <c r="G32" s="10"/>
      <c r="H32" s="10"/>
      <c r="I32" s="10"/>
      <c r="J32" s="10">
        <v>0.4</v>
      </c>
      <c r="K32" s="103"/>
      <c r="L32" s="103"/>
      <c r="M32" s="10">
        <f t="shared" si="5"/>
        <v>0</v>
      </c>
      <c r="N32" s="10">
        <f t="shared" si="6"/>
        <v>0.4</v>
      </c>
      <c r="O32" s="10">
        <f t="shared" si="1"/>
        <v>0.4</v>
      </c>
      <c r="P32" s="10"/>
    </row>
    <row r="33" spans="1:16">
      <c r="A33" s="34"/>
      <c r="B33" s="303" t="s">
        <v>411</v>
      </c>
      <c r="C33" s="304"/>
      <c r="D33" s="305"/>
      <c r="E33" s="10"/>
      <c r="F33" s="10"/>
      <c r="G33" s="10"/>
      <c r="H33" s="10"/>
      <c r="I33" s="10"/>
      <c r="J33" s="10">
        <v>2.9</v>
      </c>
      <c r="K33" s="103"/>
      <c r="L33" s="103"/>
      <c r="M33" s="10">
        <f t="shared" si="5"/>
        <v>0</v>
      </c>
      <c r="N33" s="10">
        <f t="shared" si="6"/>
        <v>2.9</v>
      </c>
      <c r="O33" s="10">
        <f t="shared" si="1"/>
        <v>2.9</v>
      </c>
      <c r="P33" s="10"/>
    </row>
    <row r="34" spans="1:16" ht="42" customHeight="1">
      <c r="A34" s="34"/>
      <c r="B34" s="303" t="s">
        <v>412</v>
      </c>
      <c r="C34" s="304"/>
      <c r="D34" s="305"/>
      <c r="E34" s="10"/>
      <c r="F34" s="10"/>
      <c r="G34" s="10"/>
      <c r="H34" s="10"/>
      <c r="I34" s="10"/>
      <c r="J34" s="10">
        <v>4.8</v>
      </c>
      <c r="K34" s="103"/>
      <c r="L34" s="103"/>
      <c r="M34" s="10">
        <f t="shared" si="5"/>
        <v>0</v>
      </c>
      <c r="N34" s="10">
        <f t="shared" si="6"/>
        <v>4.8</v>
      </c>
      <c r="O34" s="10">
        <f t="shared" si="1"/>
        <v>4.8</v>
      </c>
      <c r="P34" s="10"/>
    </row>
    <row r="35" spans="1:16">
      <c r="A35" s="34"/>
      <c r="B35" s="303" t="s">
        <v>413</v>
      </c>
      <c r="C35" s="304"/>
      <c r="D35" s="305"/>
      <c r="E35" s="10"/>
      <c r="F35" s="10"/>
      <c r="G35" s="10"/>
      <c r="H35" s="10"/>
      <c r="I35" s="10"/>
      <c r="J35" s="10">
        <v>6.2</v>
      </c>
      <c r="K35" s="103"/>
      <c r="L35" s="103"/>
      <c r="M35" s="10">
        <f t="shared" si="5"/>
        <v>0</v>
      </c>
      <c r="N35" s="10">
        <f t="shared" si="6"/>
        <v>6.2</v>
      </c>
      <c r="O35" s="10">
        <f t="shared" si="1"/>
        <v>6.2</v>
      </c>
      <c r="P35" s="10"/>
    </row>
    <row r="36" spans="1:16">
      <c r="A36" s="34"/>
      <c r="B36" s="303" t="s">
        <v>414</v>
      </c>
      <c r="C36" s="304"/>
      <c r="D36" s="305"/>
      <c r="E36" s="10"/>
      <c r="F36" s="10"/>
      <c r="G36" s="10"/>
      <c r="H36" s="10"/>
      <c r="I36" s="10"/>
      <c r="J36" s="10">
        <v>1.5</v>
      </c>
      <c r="K36" s="103"/>
      <c r="L36" s="103"/>
      <c r="M36" s="10">
        <f t="shared" si="5"/>
        <v>0</v>
      </c>
      <c r="N36" s="10">
        <f t="shared" si="6"/>
        <v>1.5</v>
      </c>
      <c r="O36" s="10">
        <f t="shared" si="1"/>
        <v>1.5</v>
      </c>
      <c r="P36" s="10"/>
    </row>
    <row r="37" spans="1:16">
      <c r="A37" s="34"/>
      <c r="B37" s="303" t="s">
        <v>415</v>
      </c>
      <c r="C37" s="304"/>
      <c r="D37" s="305"/>
      <c r="E37" s="10"/>
      <c r="F37" s="10"/>
      <c r="G37" s="10"/>
      <c r="H37" s="10"/>
      <c r="I37" s="10"/>
      <c r="J37" s="10">
        <v>9.9</v>
      </c>
      <c r="K37" s="103"/>
      <c r="L37" s="103"/>
      <c r="M37" s="10">
        <f t="shared" si="5"/>
        <v>0</v>
      </c>
      <c r="N37" s="10">
        <f t="shared" si="6"/>
        <v>9.9</v>
      </c>
      <c r="O37" s="10">
        <f t="shared" si="1"/>
        <v>9.9</v>
      </c>
      <c r="P37" s="10"/>
    </row>
    <row r="38" spans="1:16">
      <c r="A38" s="34"/>
      <c r="B38" s="303" t="s">
        <v>417</v>
      </c>
      <c r="C38" s="304"/>
      <c r="D38" s="305"/>
      <c r="E38" s="10"/>
      <c r="F38" s="10"/>
      <c r="G38" s="10"/>
      <c r="H38" s="10"/>
      <c r="I38" s="10"/>
      <c r="J38" s="10">
        <v>4.5</v>
      </c>
      <c r="K38" s="103"/>
      <c r="L38" s="103"/>
      <c r="M38" s="10">
        <f t="shared" si="5"/>
        <v>0</v>
      </c>
      <c r="N38" s="10">
        <f t="shared" si="6"/>
        <v>4.5</v>
      </c>
      <c r="O38" s="10">
        <f t="shared" si="1"/>
        <v>4.5</v>
      </c>
      <c r="P38" s="10"/>
    </row>
    <row r="39" spans="1:16" ht="48" customHeight="1">
      <c r="A39" s="34"/>
      <c r="B39" s="303" t="s">
        <v>418</v>
      </c>
      <c r="C39" s="304"/>
      <c r="D39" s="305"/>
      <c r="E39" s="10"/>
      <c r="F39" s="10"/>
      <c r="G39" s="10"/>
      <c r="H39" s="10"/>
      <c r="I39" s="10"/>
      <c r="J39" s="10"/>
      <c r="K39" s="103"/>
      <c r="L39" s="103">
        <v>3.1</v>
      </c>
      <c r="M39" s="10">
        <f t="shared" si="5"/>
        <v>0</v>
      </c>
      <c r="N39" s="10">
        <f t="shared" si="6"/>
        <v>3.1</v>
      </c>
      <c r="O39" s="10">
        <f t="shared" si="1"/>
        <v>3.1</v>
      </c>
      <c r="P39" s="10"/>
    </row>
    <row r="40" spans="1:16">
      <c r="A40" s="34"/>
      <c r="B40" s="303" t="s">
        <v>419</v>
      </c>
      <c r="C40" s="304"/>
      <c r="D40" s="305"/>
      <c r="E40" s="10"/>
      <c r="F40" s="10"/>
      <c r="G40" s="10"/>
      <c r="H40" s="10"/>
      <c r="I40" s="10"/>
      <c r="J40" s="10"/>
      <c r="K40" s="103"/>
      <c r="L40" s="103">
        <v>1.6</v>
      </c>
      <c r="M40" s="10">
        <f t="shared" si="5"/>
        <v>0</v>
      </c>
      <c r="N40" s="10">
        <v>1.6</v>
      </c>
      <c r="O40" s="10">
        <f t="shared" si="1"/>
        <v>1.6</v>
      </c>
      <c r="P40" s="10"/>
    </row>
    <row r="41" spans="1:16" ht="25.5" customHeight="1">
      <c r="A41" s="34"/>
      <c r="B41" s="303" t="s">
        <v>420</v>
      </c>
      <c r="C41" s="304"/>
      <c r="D41" s="305"/>
      <c r="E41" s="10"/>
      <c r="F41" s="10"/>
      <c r="G41" s="10"/>
      <c r="H41" s="10"/>
      <c r="I41" s="10"/>
      <c r="J41" s="10"/>
      <c r="K41" s="103"/>
      <c r="L41" s="103">
        <v>4.8</v>
      </c>
      <c r="M41" s="10">
        <f t="shared" si="5"/>
        <v>0</v>
      </c>
      <c r="N41" s="10">
        <f t="shared" si="6"/>
        <v>4.8</v>
      </c>
      <c r="O41" s="10">
        <f t="shared" si="1"/>
        <v>4.8</v>
      </c>
      <c r="P41" s="10"/>
    </row>
    <row r="42" spans="1:16">
      <c r="A42" s="34"/>
      <c r="B42" s="303" t="s">
        <v>421</v>
      </c>
      <c r="C42" s="304"/>
      <c r="D42" s="305"/>
      <c r="E42" s="10"/>
      <c r="F42" s="10"/>
      <c r="G42" s="10"/>
      <c r="H42" s="10"/>
      <c r="I42" s="10"/>
      <c r="J42" s="10"/>
      <c r="K42" s="103"/>
      <c r="L42" s="103">
        <v>0.8</v>
      </c>
      <c r="M42" s="10">
        <f t="shared" si="5"/>
        <v>0</v>
      </c>
      <c r="N42" s="10">
        <f t="shared" si="6"/>
        <v>0.8</v>
      </c>
      <c r="O42" s="10">
        <f t="shared" si="1"/>
        <v>0.8</v>
      </c>
      <c r="P42" s="10"/>
    </row>
    <row r="43" spans="1:16">
      <c r="A43" s="34"/>
      <c r="B43" s="303" t="s">
        <v>422</v>
      </c>
      <c r="C43" s="304"/>
      <c r="D43" s="305"/>
      <c r="E43" s="10"/>
      <c r="F43" s="10"/>
      <c r="G43" s="10"/>
      <c r="H43" s="10"/>
      <c r="I43" s="10"/>
      <c r="J43" s="10"/>
      <c r="K43" s="103"/>
      <c r="L43" s="103">
        <v>1.2</v>
      </c>
      <c r="M43" s="10">
        <f t="shared" si="5"/>
        <v>0</v>
      </c>
      <c r="N43" s="10">
        <f t="shared" si="6"/>
        <v>1.2</v>
      </c>
      <c r="O43" s="10">
        <f t="shared" si="1"/>
        <v>1.2</v>
      </c>
      <c r="P43" s="10"/>
    </row>
    <row r="44" spans="1:16" ht="45" customHeight="1">
      <c r="A44" s="34"/>
      <c r="B44" s="303" t="s">
        <v>423</v>
      </c>
      <c r="C44" s="304"/>
      <c r="D44" s="305"/>
      <c r="E44" s="10"/>
      <c r="F44" s="10"/>
      <c r="G44" s="10"/>
      <c r="H44" s="10"/>
      <c r="I44" s="10"/>
      <c r="J44" s="10"/>
      <c r="K44" s="103"/>
      <c r="L44" s="103">
        <v>0.6</v>
      </c>
      <c r="M44" s="10">
        <f t="shared" si="5"/>
        <v>0</v>
      </c>
      <c r="N44" s="10">
        <f t="shared" si="6"/>
        <v>0.6</v>
      </c>
      <c r="O44" s="10">
        <f t="shared" si="1"/>
        <v>0.6</v>
      </c>
      <c r="P44" s="10"/>
    </row>
    <row r="45" spans="1:16" ht="51" customHeight="1">
      <c r="A45" s="34"/>
      <c r="B45" s="303" t="s">
        <v>424</v>
      </c>
      <c r="C45" s="304"/>
      <c r="D45" s="305"/>
      <c r="E45" s="10"/>
      <c r="F45" s="10"/>
      <c r="G45" s="10"/>
      <c r="H45" s="10"/>
      <c r="I45" s="10"/>
      <c r="J45" s="10"/>
      <c r="K45" s="103"/>
      <c r="L45" s="103">
        <v>1.7</v>
      </c>
      <c r="M45" s="10">
        <f t="shared" si="5"/>
        <v>0</v>
      </c>
      <c r="N45" s="10">
        <f t="shared" si="6"/>
        <v>1.7</v>
      </c>
      <c r="O45" s="10">
        <f t="shared" si="1"/>
        <v>1.7</v>
      </c>
      <c r="P45" s="10"/>
    </row>
    <row r="46" spans="1:16" ht="31.5" customHeight="1">
      <c r="A46" s="34"/>
      <c r="B46" s="303" t="s">
        <v>328</v>
      </c>
      <c r="C46" s="304"/>
      <c r="D46" s="305"/>
      <c r="E46" s="10"/>
      <c r="F46" s="10"/>
      <c r="G46" s="10"/>
      <c r="H46" s="10"/>
      <c r="I46" s="10"/>
      <c r="J46" s="10"/>
      <c r="K46" s="103"/>
      <c r="L46" s="103">
        <v>5.7</v>
      </c>
      <c r="M46" s="10">
        <f t="shared" si="5"/>
        <v>0</v>
      </c>
      <c r="N46" s="10">
        <f t="shared" si="6"/>
        <v>5.7</v>
      </c>
      <c r="O46" s="10">
        <f t="shared" si="1"/>
        <v>5.7</v>
      </c>
      <c r="P46" s="10"/>
    </row>
    <row r="47" spans="1:16">
      <c r="A47" s="34"/>
      <c r="B47" s="303" t="s">
        <v>425</v>
      </c>
      <c r="C47" s="304"/>
      <c r="D47" s="305"/>
      <c r="E47" s="10"/>
      <c r="F47" s="10"/>
      <c r="G47" s="10"/>
      <c r="H47" s="10"/>
      <c r="I47" s="10"/>
      <c r="J47" s="10"/>
      <c r="K47" s="103"/>
      <c r="L47" s="103">
        <v>5.5</v>
      </c>
      <c r="M47" s="10">
        <f t="shared" si="5"/>
        <v>0</v>
      </c>
      <c r="N47" s="10">
        <f t="shared" si="6"/>
        <v>5.5</v>
      </c>
      <c r="O47" s="10">
        <f t="shared" si="1"/>
        <v>5.5</v>
      </c>
      <c r="P47" s="10"/>
    </row>
    <row r="48" spans="1:16">
      <c r="A48" s="34"/>
      <c r="B48" s="303" t="s">
        <v>426</v>
      </c>
      <c r="C48" s="304"/>
      <c r="D48" s="305"/>
      <c r="E48" s="10"/>
      <c r="F48" s="10"/>
      <c r="G48" s="10"/>
      <c r="H48" s="10"/>
      <c r="I48" s="10"/>
      <c r="J48" s="10"/>
      <c r="K48" s="103"/>
      <c r="L48" s="103">
        <v>1</v>
      </c>
      <c r="M48" s="10">
        <f t="shared" si="5"/>
        <v>0</v>
      </c>
      <c r="N48" s="10">
        <f t="shared" si="6"/>
        <v>1</v>
      </c>
      <c r="O48" s="10">
        <f t="shared" si="1"/>
        <v>1</v>
      </c>
      <c r="P48" s="10"/>
    </row>
    <row r="49" spans="1:16">
      <c r="A49" s="34"/>
      <c r="B49" s="303" t="s">
        <v>427</v>
      </c>
      <c r="C49" s="304"/>
      <c r="D49" s="305"/>
      <c r="E49" s="10"/>
      <c r="F49" s="10"/>
      <c r="G49" s="10"/>
      <c r="H49" s="10"/>
      <c r="I49" s="10"/>
      <c r="J49" s="10"/>
      <c r="K49" s="103"/>
      <c r="L49" s="103">
        <v>2.2999999999999998</v>
      </c>
      <c r="M49" s="10">
        <f t="shared" si="5"/>
        <v>0</v>
      </c>
      <c r="N49" s="10">
        <f t="shared" si="6"/>
        <v>2.2999999999999998</v>
      </c>
      <c r="O49" s="10">
        <f t="shared" si="1"/>
        <v>2.2999999999999998</v>
      </c>
      <c r="P49" s="10"/>
    </row>
    <row r="50" spans="1:16">
      <c r="A50" s="34"/>
      <c r="B50" s="303" t="s">
        <v>428</v>
      </c>
      <c r="C50" s="304"/>
      <c r="D50" s="305"/>
      <c r="E50" s="10"/>
      <c r="F50" s="10"/>
      <c r="G50" s="10"/>
      <c r="H50" s="10"/>
      <c r="I50" s="10"/>
      <c r="J50" s="10"/>
      <c r="K50" s="103"/>
      <c r="L50" s="103">
        <v>0.7</v>
      </c>
      <c r="M50" s="10">
        <f t="shared" si="5"/>
        <v>0</v>
      </c>
      <c r="N50" s="10">
        <f t="shared" si="6"/>
        <v>0.7</v>
      </c>
      <c r="O50" s="10">
        <f t="shared" si="1"/>
        <v>0.7</v>
      </c>
      <c r="P50" s="10"/>
    </row>
    <row r="51" spans="1:16">
      <c r="A51" s="34"/>
      <c r="B51" s="303" t="s">
        <v>429</v>
      </c>
      <c r="C51" s="304"/>
      <c r="D51" s="305"/>
      <c r="E51" s="10"/>
      <c r="F51" s="10"/>
      <c r="G51" s="10"/>
      <c r="H51" s="10"/>
      <c r="I51" s="10"/>
      <c r="J51" s="10"/>
      <c r="K51" s="103"/>
      <c r="L51" s="103">
        <v>0.4</v>
      </c>
      <c r="M51" s="10">
        <f t="shared" si="5"/>
        <v>0</v>
      </c>
      <c r="N51" s="10">
        <f t="shared" si="6"/>
        <v>0.4</v>
      </c>
      <c r="O51" s="10">
        <f t="shared" si="1"/>
        <v>0.4</v>
      </c>
      <c r="P51" s="10"/>
    </row>
    <row r="52" spans="1:16">
      <c r="A52" s="34"/>
      <c r="B52" s="303" t="s">
        <v>430</v>
      </c>
      <c r="C52" s="304"/>
      <c r="D52" s="305"/>
      <c r="E52" s="10"/>
      <c r="F52" s="10"/>
      <c r="G52" s="10"/>
      <c r="H52" s="10"/>
      <c r="I52" s="10"/>
      <c r="J52" s="10"/>
      <c r="K52" s="103"/>
      <c r="L52" s="103">
        <v>1.5</v>
      </c>
      <c r="M52" s="10">
        <f t="shared" si="5"/>
        <v>0</v>
      </c>
      <c r="N52" s="10">
        <f t="shared" si="6"/>
        <v>1.5</v>
      </c>
      <c r="O52" s="10">
        <f t="shared" si="1"/>
        <v>1.5</v>
      </c>
      <c r="P52" s="10"/>
    </row>
    <row r="53" spans="1:16">
      <c r="A53" s="34"/>
      <c r="B53" s="303" t="s">
        <v>431</v>
      </c>
      <c r="C53" s="304"/>
      <c r="D53" s="305"/>
      <c r="E53" s="10"/>
      <c r="F53" s="10"/>
      <c r="G53" s="10"/>
      <c r="H53" s="10"/>
      <c r="I53" s="10"/>
      <c r="J53" s="10"/>
      <c r="K53" s="103"/>
      <c r="L53" s="103">
        <v>4.5</v>
      </c>
      <c r="M53" s="10">
        <f t="shared" si="5"/>
        <v>0</v>
      </c>
      <c r="N53" s="10">
        <f t="shared" si="6"/>
        <v>4.5</v>
      </c>
      <c r="O53" s="10">
        <f t="shared" si="1"/>
        <v>4.5</v>
      </c>
      <c r="P53" s="10"/>
    </row>
    <row r="54" spans="1:16" ht="39.75" customHeight="1">
      <c r="A54" s="34"/>
      <c r="B54" s="303" t="s">
        <v>432</v>
      </c>
      <c r="C54" s="304"/>
      <c r="D54" s="305"/>
      <c r="E54" s="10"/>
      <c r="F54" s="10"/>
      <c r="G54" s="10"/>
      <c r="H54" s="10"/>
      <c r="I54" s="10"/>
      <c r="J54" s="10"/>
      <c r="K54" s="103"/>
      <c r="L54" s="103">
        <v>10.7</v>
      </c>
      <c r="M54" s="10">
        <f t="shared" si="5"/>
        <v>0</v>
      </c>
      <c r="N54" s="10">
        <f t="shared" si="6"/>
        <v>10.7</v>
      </c>
      <c r="O54" s="10">
        <f t="shared" si="1"/>
        <v>10.7</v>
      </c>
      <c r="P54" s="10"/>
    </row>
    <row r="55" spans="1:16" ht="26.25" customHeight="1">
      <c r="A55" s="34"/>
      <c r="B55" s="303" t="s">
        <v>433</v>
      </c>
      <c r="C55" s="304"/>
      <c r="D55" s="305"/>
      <c r="E55" s="10"/>
      <c r="F55" s="10"/>
      <c r="G55" s="10"/>
      <c r="H55" s="10"/>
      <c r="I55" s="10"/>
      <c r="J55" s="10"/>
      <c r="K55" s="103"/>
      <c r="L55" s="103">
        <v>5.2</v>
      </c>
      <c r="M55" s="10">
        <f t="shared" si="5"/>
        <v>0</v>
      </c>
      <c r="N55" s="10">
        <f t="shared" si="6"/>
        <v>5.2</v>
      </c>
      <c r="O55" s="10">
        <f t="shared" si="1"/>
        <v>5.2</v>
      </c>
      <c r="P55" s="10"/>
    </row>
    <row r="56" spans="1:16">
      <c r="A56" s="34"/>
      <c r="B56" s="303" t="s">
        <v>434</v>
      </c>
      <c r="C56" s="304"/>
      <c r="D56" s="305"/>
      <c r="E56" s="10"/>
      <c r="F56" s="10"/>
      <c r="G56" s="10"/>
      <c r="H56" s="10"/>
      <c r="I56" s="10"/>
      <c r="J56" s="10"/>
      <c r="K56" s="103"/>
      <c r="L56" s="103">
        <v>8</v>
      </c>
      <c r="M56" s="10">
        <f t="shared" si="5"/>
        <v>0</v>
      </c>
      <c r="N56" s="10">
        <f t="shared" si="6"/>
        <v>8</v>
      </c>
      <c r="O56" s="10">
        <f t="shared" si="1"/>
        <v>8</v>
      </c>
      <c r="P56" s="10"/>
    </row>
    <row r="57" spans="1:16">
      <c r="A57" s="34"/>
      <c r="B57" s="303" t="s">
        <v>435</v>
      </c>
      <c r="C57" s="304"/>
      <c r="D57" s="305"/>
      <c r="E57" s="10"/>
      <c r="F57" s="10"/>
      <c r="G57" s="10"/>
      <c r="H57" s="10"/>
      <c r="I57" s="10"/>
      <c r="J57" s="10"/>
      <c r="K57" s="103"/>
      <c r="L57" s="103">
        <v>4.5999999999999996</v>
      </c>
      <c r="M57" s="10">
        <f t="shared" si="5"/>
        <v>0</v>
      </c>
      <c r="N57" s="10">
        <f t="shared" si="6"/>
        <v>4.5999999999999996</v>
      </c>
      <c r="O57" s="10">
        <f t="shared" si="1"/>
        <v>4.5999999999999996</v>
      </c>
      <c r="P57" s="10"/>
    </row>
    <row r="58" spans="1:16">
      <c r="A58" s="34"/>
      <c r="B58" s="303" t="s">
        <v>436</v>
      </c>
      <c r="C58" s="304"/>
      <c r="D58" s="305"/>
      <c r="E58" s="10"/>
      <c r="F58" s="10"/>
      <c r="G58" s="10"/>
      <c r="H58" s="10">
        <v>2.1</v>
      </c>
      <c r="I58" s="10"/>
      <c r="J58" s="10"/>
      <c r="K58" s="103"/>
      <c r="L58" s="103"/>
      <c r="M58" s="10">
        <f t="shared" si="5"/>
        <v>0</v>
      </c>
      <c r="N58" s="10">
        <f t="shared" si="6"/>
        <v>2.1</v>
      </c>
      <c r="O58" s="10">
        <f t="shared" si="1"/>
        <v>2.1</v>
      </c>
      <c r="P58" s="10"/>
    </row>
    <row r="59" spans="1:16" ht="40.5" customHeight="1">
      <c r="A59" s="318" t="s">
        <v>9</v>
      </c>
      <c r="B59" s="319"/>
      <c r="C59" s="319"/>
      <c r="D59" s="319"/>
      <c r="E59" s="1">
        <f t="shared" ref="E59:N59" si="7">SUM(E7,E21)</f>
        <v>0</v>
      </c>
      <c r="F59" s="1">
        <f t="shared" si="7"/>
        <v>0</v>
      </c>
      <c r="G59" s="1">
        <f t="shared" si="7"/>
        <v>0</v>
      </c>
      <c r="H59" s="1">
        <f t="shared" si="7"/>
        <v>20</v>
      </c>
      <c r="I59" s="1">
        <f t="shared" si="7"/>
        <v>0</v>
      </c>
      <c r="J59" s="1">
        <f t="shared" si="7"/>
        <v>287.3</v>
      </c>
      <c r="K59" s="1">
        <f t="shared" si="7"/>
        <v>0</v>
      </c>
      <c r="L59" s="1">
        <f t="shared" si="7"/>
        <v>284.7</v>
      </c>
      <c r="M59" s="1">
        <f t="shared" si="7"/>
        <v>0</v>
      </c>
      <c r="N59" s="1">
        <f t="shared" si="7"/>
        <v>592</v>
      </c>
      <c r="O59" s="1">
        <f t="shared" si="1"/>
        <v>592</v>
      </c>
      <c r="P59" s="1"/>
    </row>
    <row r="60" spans="1:16" ht="20.100000000000001" customHeight="1">
      <c r="A60" s="104"/>
      <c r="B60" s="104"/>
      <c r="C60" s="105"/>
      <c r="D60" s="105"/>
      <c r="E60" s="105"/>
      <c r="F60" s="105"/>
      <c r="G60" s="105"/>
      <c r="H60" s="105"/>
      <c r="I60" s="105"/>
      <c r="J60" s="104"/>
      <c r="K60" s="105"/>
      <c r="L60" s="104"/>
    </row>
    <row r="61" spans="1:16" ht="20.100000000000001" customHeight="1">
      <c r="A61" s="106"/>
      <c r="B61" s="106"/>
      <c r="C61" s="107"/>
      <c r="D61" s="107"/>
      <c r="E61" s="107"/>
      <c r="F61" s="107"/>
      <c r="G61" s="107"/>
      <c r="H61" s="107"/>
      <c r="I61" s="107"/>
      <c r="J61" s="107"/>
    </row>
    <row r="62" spans="1:16" ht="20.100000000000001" customHeight="1">
      <c r="A62" s="106"/>
      <c r="B62" s="106"/>
      <c r="C62" s="107"/>
      <c r="D62" s="107"/>
      <c r="E62" s="107"/>
      <c r="F62" s="107"/>
      <c r="G62" s="107"/>
      <c r="H62" s="107"/>
      <c r="I62" s="107"/>
      <c r="J62" s="107"/>
    </row>
    <row r="63" spans="1:16" s="108" customFormat="1" ht="20.100000000000001" customHeight="1">
      <c r="C63" s="99"/>
      <c r="D63" s="99"/>
      <c r="E63" s="99"/>
      <c r="F63" s="99"/>
    </row>
    <row r="64" spans="1:16" s="109" customFormat="1" ht="49.5" customHeight="1">
      <c r="B64" s="308" t="s">
        <v>366</v>
      </c>
      <c r="C64" s="309"/>
      <c r="D64" s="309"/>
      <c r="E64" s="110"/>
      <c r="F64" s="110"/>
      <c r="G64" s="310"/>
      <c r="H64" s="310"/>
      <c r="I64" s="310"/>
      <c r="J64" s="111"/>
      <c r="K64" s="286" t="s">
        <v>517</v>
      </c>
      <c r="L64" s="286"/>
      <c r="M64" s="286"/>
    </row>
    <row r="65" spans="1:13" s="108" customFormat="1" ht="19.5" customHeight="1">
      <c r="B65" s="311" t="s">
        <v>11</v>
      </c>
      <c r="C65" s="311"/>
      <c r="D65" s="311"/>
      <c r="E65" s="112"/>
      <c r="F65" s="112"/>
      <c r="G65" s="113"/>
      <c r="H65" s="114" t="s">
        <v>12</v>
      </c>
      <c r="I65" s="113"/>
      <c r="J65" s="112"/>
      <c r="K65" s="311" t="s">
        <v>18</v>
      </c>
      <c r="L65" s="311"/>
      <c r="M65" s="311"/>
    </row>
    <row r="66" spans="1:13" ht="20.100000000000001" customHeight="1">
      <c r="B66" s="115"/>
      <c r="C66" s="115"/>
      <c r="D66" s="115"/>
      <c r="E66" s="116"/>
      <c r="F66" s="116"/>
      <c r="G66" s="116"/>
      <c r="H66" s="116"/>
      <c r="I66" s="116"/>
      <c r="J66" s="116"/>
    </row>
    <row r="67" spans="1:13" ht="20.100000000000001" customHeight="1">
      <c r="B67" s="115"/>
      <c r="C67" s="115"/>
      <c r="D67" s="115"/>
      <c r="E67" s="115"/>
      <c r="F67" s="115"/>
      <c r="G67" s="115"/>
      <c r="H67" s="115"/>
      <c r="I67" s="115"/>
      <c r="J67" s="115"/>
    </row>
    <row r="68" spans="1:13">
      <c r="B68" s="115"/>
      <c r="C68" s="115"/>
      <c r="D68" s="115"/>
      <c r="E68" s="115"/>
      <c r="F68" s="115"/>
      <c r="G68" s="115"/>
      <c r="H68" s="115"/>
      <c r="I68" s="115"/>
      <c r="J68" s="115"/>
    </row>
    <row r="69" spans="1:13" s="307" customFormat="1" ht="19.149999999999999" customHeight="1">
      <c r="A69" s="306" t="s">
        <v>52</v>
      </c>
    </row>
    <row r="72" spans="1:13">
      <c r="B72" s="117"/>
    </row>
    <row r="73" spans="1:13">
      <c r="B73" s="117"/>
    </row>
    <row r="74" spans="1:13">
      <c r="B74" s="117"/>
    </row>
    <row r="75" spans="1:13">
      <c r="B75" s="117"/>
    </row>
    <row r="76" spans="1:13">
      <c r="B76" s="117"/>
    </row>
    <row r="77" spans="1:13">
      <c r="B77" s="117"/>
    </row>
    <row r="78" spans="1:13">
      <c r="B78" s="117"/>
    </row>
  </sheetData>
  <mergeCells count="67">
    <mergeCell ref="A59:D59"/>
    <mergeCell ref="B18:D18"/>
    <mergeCell ref="B19:D19"/>
    <mergeCell ref="B20:D20"/>
    <mergeCell ref="B24:D24"/>
    <mergeCell ref="B25:D25"/>
    <mergeCell ref="B33:D33"/>
    <mergeCell ref="B34:D34"/>
    <mergeCell ref="B35:D35"/>
    <mergeCell ref="B36:D36"/>
    <mergeCell ref="B22:D22"/>
    <mergeCell ref="B23:D23"/>
    <mergeCell ref="B28:D28"/>
    <mergeCell ref="B29:D29"/>
    <mergeCell ref="B30:D30"/>
    <mergeCell ref="B31:D31"/>
    <mergeCell ref="M4:P4"/>
    <mergeCell ref="G4:H4"/>
    <mergeCell ref="B6:D6"/>
    <mergeCell ref="K4:L4"/>
    <mergeCell ref="I4:J4"/>
    <mergeCell ref="B4:D5"/>
    <mergeCell ref="E4:F4"/>
    <mergeCell ref="A4:A5"/>
    <mergeCell ref="B7:D7"/>
    <mergeCell ref="B21:D21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A69:XFD69"/>
    <mergeCell ref="B64:D64"/>
    <mergeCell ref="G64:I64"/>
    <mergeCell ref="B65:D65"/>
    <mergeCell ref="K64:M64"/>
    <mergeCell ref="K65:M65"/>
    <mergeCell ref="B32:D32"/>
    <mergeCell ref="B26:D26"/>
    <mergeCell ref="B27:D27"/>
    <mergeCell ref="B51:D51"/>
    <mergeCell ref="B37:D37"/>
    <mergeCell ref="B38:D38"/>
    <mergeCell ref="B39:D39"/>
    <mergeCell ref="B40:D40"/>
    <mergeCell ref="B41:D41"/>
    <mergeCell ref="B55:D55"/>
    <mergeCell ref="B56:D56"/>
    <mergeCell ref="B57:D57"/>
    <mergeCell ref="B58:D58"/>
    <mergeCell ref="B42:D42"/>
    <mergeCell ref="B43:D43"/>
    <mergeCell ref="B52:D52"/>
    <mergeCell ref="B53:D53"/>
    <mergeCell ref="B54:D54"/>
    <mergeCell ref="B44:D44"/>
    <mergeCell ref="B45:D45"/>
    <mergeCell ref="B46:D46"/>
    <mergeCell ref="B47:D47"/>
    <mergeCell ref="B48:D48"/>
    <mergeCell ref="B49:D49"/>
    <mergeCell ref="B50:D50"/>
  </mergeCells>
  <phoneticPr fontId="3" type="noConversion"/>
  <pageMargins left="0.23622047244094491" right="0.15748031496062992" top="0.19685039370078741" bottom="0.19685039370078741" header="0.19685039370078741" footer="0.31496062992125984"/>
  <pageSetup paperSize="9" scale="50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'Звіт про виконання показ фінпла'!Заголовки_для_печати</vt:lpstr>
      <vt:lpstr>'Розшифровка 1 до Формування'!Заголовки_для_печати</vt:lpstr>
      <vt:lpstr>'Розшифровка 2 до формування'!Заголовки_для_печати</vt:lpstr>
      <vt:lpstr>'Розшифровка кап'!Заголовки_для_печати</vt:lpstr>
      <vt:lpstr>'Звіт про виконання показ фінпла'!Область_печати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джерелами'!Область_печати</vt:lpstr>
      <vt:lpstr>'Розшифровка кап'!Область_печати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CMtaD</cp:lastModifiedBy>
  <cp:lastPrinted>2021-10-19T08:15:34Z</cp:lastPrinted>
  <dcterms:created xsi:type="dcterms:W3CDTF">2003-03-13T16:00:22Z</dcterms:created>
  <dcterms:modified xsi:type="dcterms:W3CDTF">2021-10-19T08:15:58Z</dcterms:modified>
</cp:coreProperties>
</file>